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CSM\"/>
    </mc:Choice>
  </mc:AlternateContent>
  <bookViews>
    <workbookView xWindow="-15" yWindow="-15" windowWidth="9615" windowHeight="8730" tabRatio="664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2" i="1" l="1"/>
  <c r="B58" i="3"/>
  <c r="B60" i="3" s="1"/>
  <c r="B20" i="3"/>
  <c r="B54" i="3"/>
  <c r="B48" i="3"/>
  <c r="B34" i="3"/>
  <c r="B28" i="3"/>
  <c r="B30" i="3" s="1"/>
  <c r="B22" i="3"/>
  <c r="B21" i="3"/>
  <c r="B23" i="3" s="1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<sst xmlns="http://schemas.openxmlformats.org/spreadsheetml/2006/main" count="394" uniqueCount="361">
  <si>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</si>
  <si>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</si>
  <si>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</si>
  <si>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</si>
  <si>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</si>
  <si>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</si>
  <si>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</si>
  <si>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</si>
  <si>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</si>
  <si>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</si>
  <si>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</si>
  <si>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</si>
  <si>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</si>
  <si>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</si>
  <si>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</si>
  <si>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</si>
  <si>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</si>
  <si>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</si>
  <si>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</si>
  <si>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</si>
  <si>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</si>
  <si>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</si>
  <si>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</si>
  <si>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</si>
  <si>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</si>
  <si>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</si>
  <si>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</si>
  <si>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</si>
  <si>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</si>
  <si>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</si>
  <si>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</si>
  <si>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</si>
  <si>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</si>
  <si>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</si>
  <si>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</si>
  <si>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</si>
  <si>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</si>
  <si>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</si>
  <si>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</si>
  <si>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</si>
  <si>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</si>
  <si>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</si>
  <si>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</si>
  <si>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</si>
  <si>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</si>
  <si>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</si>
  <si>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</si>
  <si>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</si>
  <si>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</si>
  <si>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</si>
  <si>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</si>
  <si>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</si>
  <si>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</si>
  <si>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</si>
  <si>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</si>
  <si>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</si>
  <si>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</si>
  <si>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</si>
  <si>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</si>
  <si>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</si>
  <si>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</si>
  <si>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</si>
  <si>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</si>
  <si>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</si>
  <si>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</si>
  <si>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</si>
  <si>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</si>
  <si>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</si>
  <si>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</si>
  <si>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</si>
  <si>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</si>
  <si>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</si>
  <si>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</si>
  <si>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</si>
  <si>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</si>
  <si>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</si>
  <si>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</si>
  <si>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</si>
  <si>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</si>
  <si>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</si>
  <si>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</si>
  <si>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</si>
  <si>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</si>
  <si>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</si>
  <si>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</si>
  <si>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</si>
  <si>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</si>
  <si>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</si>
  <si>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</si>
  <si>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</si>
  <si>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</si>
  <si>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</si>
  <si>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</si>
  <si>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</si>
  <si>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</si>
  <si>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</si>
  <si>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</si>
  <si>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</si>
  <si>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</si>
  <si>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</si>
  <si>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</si>
  <si>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</si>
  <si>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</si>
  <si>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</si>
  <si>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</si>
  <si>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</si>
  <si>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</si>
  <si>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</si>
  <si>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</si>
  <si>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</si>
  <si>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</si>
  <si>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</si>
  <si>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</si>
  <si>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</si>
  <si>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</si>
  <si>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</si>
  <si>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</si>
  <si>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</si>
  <si>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</si>
  <si>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</si>
  <si>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</si>
  <si>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</si>
  <si>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</si>
  <si>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</si>
  <si>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</si>
  <si>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</si>
  <si>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</si>
  <si>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</si>
  <si>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</si>
  <si>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</si>
  <si>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</si>
  <si>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</si>
  <si>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</si>
  <si>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</si>
  <si>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</si>
  <si>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</si>
  <si>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</si>
  <si>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</si>
  <si>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</si>
  <si>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</si>
  <si>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</si>
  <si>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</si>
  <si>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</si>
  <si>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</si>
  <si>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</si>
  <si>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</si>
  <si>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</si>
  <si>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</si>
  <si>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</si>
  <si>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</si>
  <si>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</si>
  <si>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</si>
  <si>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</si>
  <si>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</si>
  <si>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</si>
  <si>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</si>
  <si>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</si>
  <si>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</si>
  <si>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</si>
  <si>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</si>
  <si>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</si>
  <si>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</si>
  <si>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</si>
  <si>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</si>
  <si>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</si>
  <si>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</si>
  <si>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</si>
  <si>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</si>
  <si>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</si>
  <si>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</si>
  <si>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</si>
  <si>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</si>
  <si>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</si>
  <si>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</si>
  <si>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</si>
  <si>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</si>
  <si>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</si>
  <si>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</si>
  <si>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</si>
  <si>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</si>
  <si>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</si>
  <si>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</si>
  <si>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</si>
  <si>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</si>
  <si>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</si>
  <si>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</si>
  <si>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</si>
  <si>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</si>
  <si>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</si>
  <si>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</si>
  <si>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</si>
  <si>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</si>
  <si>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</si>
  <si>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</si>
  <si>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</si>
  <si>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</si>
  <si>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</si>
  <si>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</si>
  <si>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</si>
  <si>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</si>
  <si>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</si>
  <si>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</si>
  <si>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</si>
  <si>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</si>
  <si>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</si>
  <si>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</si>
  <si>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</si>
  <si>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</si>
  <si>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</si>
  <si>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</si>
  <si>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</si>
  <si>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</si>
  <si>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</si>
  <si>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</si>
  <si>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</si>
  <si>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</si>
  <si>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</si>
  <si>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</si>
  <si>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</si>
  <si>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</si>
  <si>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</si>
  <si>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</si>
  <si>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</si>
  <si>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</si>
  <si>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</si>
  <si>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</si>
  <si>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</si>
  <si>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</si>
  <si>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</si>
  <si>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</si>
  <si>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</si>
  <si>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</si>
  <si>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</si>
  <si>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</si>
  <si>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</si>
  <si>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</si>
  <si>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</si>
  <si>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</si>
  <si>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</si>
  <si>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</si>
  <si>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</si>
  <si>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</si>
  <si>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</si>
  <si>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</si>
  <si>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</si>
  <si>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</si>
  <si>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</si>
  <si>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</si>
  <si>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</si>
  <si>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</si>
  <si>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</si>
  <si>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</si>
  <si>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</si>
  <si>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</si>
  <si>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</si>
  <si>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</si>
  <si>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</si>
  <si>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</si>
  <si>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</si>
  <si>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</si>
  <si>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</si>
  <si>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</si>
  <si>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</si>
  <si>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</si>
  <si>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</si>
  <si>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</si>
  <si>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</si>
  <si>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</si>
  <si>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</si>
  <si>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</si>
  <si>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</si>
  <si>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</si>
  <si>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</si>
  <si>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</si>
  <si>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</si>
  <si>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</si>
  <si>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</si>
  <si>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</si>
  <si>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</si>
  <si>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</si>
  <si>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</si>
  <si>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</si>
  <si>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</si>
  <si>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</si>
  <si>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</si>
  <si>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</si>
  <si>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</si>
  <si>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</si>
  <si>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</si>
  <si>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</si>
  <si>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</si>
  <si>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</si>
  <si>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</si>
  <si>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</si>
  <si>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</si>
  <si>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</si>
  <si>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</si>
  <si>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</si>
  <si>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</si>
  <si>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</si>
  <si>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</si>
  <si>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</si>
  <si>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</si>
  <si>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</si>
  <si>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</si>
  <si>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</si>
  <si>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</si>
  <si>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</si>
  <si>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</si>
  <si>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</si>
  <si>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</si>
  <si>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</si>
  <si>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</si>
  <si>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</si>
  <si>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</si>
  <si>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</si>
  <si>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</si>
  <si>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</si>
  <si>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</si>
  <si>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</si>
  <si>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</si>
  <si>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</si>
  <si>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</si>
  <si>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</si>
  <si>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</si>
  <si>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</si>
  <si>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</si>
  <si>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</si>
  <si>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</si>
  <si>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</si>
  <si>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</si>
  <si>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</si>
  <si>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</si>
  <si>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</si>
  <si>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</si>
  <si>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</si>
  <si>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</si>
  <si>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</si>
  <si>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</si>
  <si>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</si>
  <si>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</si>
  <si>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</si>
  <si>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</si>
  <si>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</si>
  <si>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</si>
  <si>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</si>
  <si>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</si>
  <si>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</si>
  <si>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</si>
  <si>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</si>
  <si>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</si>
  <si>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</si>
  <si>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</si>
  <si>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</si>
  <si>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</si>
  <si>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</si>
  <si>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</si>
  <si>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</si>
  <si>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$100.000,00</t>
  </si>
  <si>
    <t>$7.722,00</t>
  </si>
  <si>
    <t>15,00%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</si>
</sst>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  <xf numFmtId="0" fontId="16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163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2" fillId="0" borderId="0" xfId="0" applyFont="1" applyBorder="1" applyAlignment="1">
      <alignment horizontal="left"/>
    </xf>
    <xf numFmtId="165" fontId="4" fillId="0" borderId="0" xfId="0" applyFont="1" applyFill="1" applyBorder="1" applyAlignment="1">
      <alignment horizontal="centerContinuous"/>
    </xf>
    <xf numFmtId="165" fontId="3" fillId="0" borderId="0" xfId="0" applyFont="1" applyFill="1" applyBorder="1" applyAlignment="1">
      <alignment horizontal="centerContinuous"/>
    </xf>
    <xf numFmtId="165" fontId="4" fillId="0" borderId="0" xfId="0" applyFont="1" applyBorder="1" applyAlignment="1">
      <alignment horizontal="left"/>
    </xf>
    <xf numFmtId="165" fontId="3" fillId="0" borderId="0" xfId="0" applyFont="1" applyBorder="1" applyAlignment="1">
      <alignment horizontal="centerContinuous"/>
    </xf>
    <xf numFmtId="165" fontId="5" fillId="0" borderId="0" xfId="0" applyFont="1" applyBorder="1" applyAlignment="1">
      <alignment horizontal="centerContinuous"/>
    </xf>
    <xf numFmtId="165" fontId="6" fillId="0" borderId="0" xfId="0" applyFont="1" applyBorder="1" applyAlignment="1">
      <alignment horizontal="centerContinuous"/>
    </xf>
    <xf numFmtId="165" fontId="4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165" fontId="2" fillId="0" borderId="0" xfId="0" applyFont="1" applyBorder="1"/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0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0" fillId="0" borderId="0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Border="1" applyAlignment="1">
      <alignment horizontal="left" vertical="top"/>
    </xf>
    <xf numFmtId="165" fontId="2" fillId="0" borderId="0" xfId="0" applyFont="1" applyBorder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NumberFormat="1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0" fillId="4" borderId="3" xfId="0" applyFont="1" applyFill="1" applyBorder="1" applyAlignment="1">
      <alignment vertical="top" wrapText="1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0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0" xfId="0" applyNumberFormat="1" applyFont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Border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NumberFormat="1" applyFont="1" applyBorder="1" applyAlignment="1">
      <alignment horizontal="right" vertical="top"/>
    </xf>
    <xf numFmtId="165" fontId="18" fillId="0" borderId="15" xfId="3" applyNumberFormat="1" applyFont="1" applyBorder="1" applyAlignment="1">
      <alignment horizontal="right" vertical="top"/>
    </xf>
    <xf numFmtId="165" fontId="17" fillId="0" borderId="0" xfId="0" applyFont="1" applyBorder="1"/>
    <xf numFmtId="165" fontId="18" fillId="0" borderId="0" xfId="3" applyNumberFormat="1" applyFont="1" applyBorder="1" applyAlignment="1">
      <alignment horizontal="right" vertical="top"/>
    </xf>
    <xf numFmtId="165" fontId="18" fillId="0" borderId="5" xfId="0" applyFont="1" applyBorder="1"/>
    <xf numFmtId="165" fontId="4" fillId="0" borderId="0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Border="1" applyAlignment="1">
      <alignment vertical="top"/>
    </xf>
    <xf numFmtId="165" fontId="17" fillId="0" borderId="0" xfId="3" applyFont="1" applyBorder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4" fillId="0" borderId="0" xfId="0" applyFont="1" applyAlignment="1">
      <alignment vertical="center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Border="1" applyAlignment="1">
      <alignment horizontal="justify" vertical="top"/>
    </xf>
    <xf numFmtId="0" fontId="2" fillId="0" borderId="0" xfId="0" applyNumberFormat="1" applyFont="1" applyBorder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NumberFormat="1" applyFont="1" applyFill="1" applyBorder="1" applyAlignment="1">
      <alignment horizontal="left" vertical="top" wrapText="1"/>
    </xf>
    <xf numFmtId="0" fontId="10" fillId="4" borderId="13" xfId="7" applyFont="1" applyFill="1" applyBorder="1" applyAlignment="1">
      <alignment vertical="top" wrapText="1"/>
    </xf>
    <xf numFmtId="0" fontId="10" fillId="4" borderId="5" xfId="7" applyFont="1" applyFill="1" applyBorder="1" applyAlignment="1">
      <alignment vertical="top" wrapText="1"/>
    </xf>
    <xf numFmtId="0" fontId="12" fillId="4" borderId="5" xfId="8" applyFill="1" applyBorder="1" applyAlignment="1" applyProtection="1">
      <alignment vertical="top" wrapText="1"/>
    </xf>
    <xf numFmtId="49" fontId="10" fillId="4" borderId="5" xfId="7" applyNumberFormat="1" applyFont="1" applyFill="1" applyBorder="1" applyAlignment="1">
      <alignment vertical="top" wrapText="1"/>
    </xf>
  </cellXfs>
  <cellStyles count="10">
    <cellStyle name="Hipervínculo" xfId="2" builtinId="8"/>
    <cellStyle name="Hipervínculo 2" xfId="8"/>
    <cellStyle name="Millares 2" xfId="3"/>
    <cellStyle name="Millares 3" xfId="6"/>
    <cellStyle name="Moneda" xfId="1" builtinId="4"/>
    <cellStyle name="Normal" xfId="0" builtinId="0"/>
    <cellStyle name="Normal 2" xfId="4"/>
    <cellStyle name="Normal 2 2" xfId="5"/>
    <cellStyle name="Normal 2 3" xfId="9"/>
    <cellStyle name="Normal 3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154896</xdr:rowOff>
    </xdr:from>
    <xdr:to>
      <xdr:col>5</xdr:col>
      <xdr:colOff>763446</xdr:colOff>
      <xdr:row>1</xdr:row>
      <xdr:rowOff>678308</xdr:rowOff>
    </xdr:to>
    <xdr:pic>
      <xdr:nvPicPr>
        <xdr:cNvPr id="3" name="logoempres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8275" y="154896"/>
          <a:ext cx="925371" cy="704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6"/>
  <sheetViews>
    <sheetView showGridLines="0" showZeros="0" tabSelected="1" topLeftCell="B1" workbookViewId="0">
      <selection activeCell="B7" sqref="B7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102"/>
      <c r="B1" s="103" t="s">
        <v>286</v>
      </c>
      <c r="C1" s="104" t="s">
        <v>349</v>
      </c>
    </row>
    <row r="2" spans="1:3" ht="12.75" customHeight="1" x14ac:dyDescent="0.2">
      <c r="A2" s="39" t="s">
        <v>40</v>
      </c>
      <c r="B2" s="39"/>
      <c r="C2" s="40"/>
    </row>
    <row r="3" spans="1:3" ht="12.75" customHeight="1" x14ac:dyDescent="0.2">
      <c r="A3" s="41"/>
      <c r="B3" s="41"/>
      <c r="C3" s="41"/>
    </row>
    <row r="4" spans="1:3" ht="12.75" customHeight="1" x14ac:dyDescent="0.2">
      <c r="A4" s="42" t="s">
        <v>41</v>
      </c>
      <c r="B4" s="43" t="s">
        <v>16</v>
      </c>
      <c r="C4" s="44" t="s">
        <v>42</v>
      </c>
    </row>
    <row r="5" spans="1:3" ht="12.75" customHeight="1" x14ac:dyDescent="0.2">
      <c r="A5" s="45" t="s">
        <v>43</v>
      </c>
      <c r="B5" s="46"/>
      <c r="C5" s="47"/>
    </row>
    <row r="6" spans="1:3" ht="12.75" customHeight="1" x14ac:dyDescent="0.2">
      <c r="A6" s="48" t="s">
        <v>44</v>
      </c>
      <c r="B6" s="49" t="s">
        <v>45</v>
      </c>
      <c r="C6" s="159" t="s">
        <v>350</v>
      </c>
    </row>
    <row r="7" spans="1:3" ht="12.75" customHeight="1" x14ac:dyDescent="0.2">
      <c r="A7" s="50" t="s">
        <v>46</v>
      </c>
      <c r="B7" s="51" t="s">
        <v>47</v>
      </c>
      <c r="C7" s="160" t="s">
        <v>351</v>
      </c>
    </row>
    <row r="8" spans="1:3" ht="12.75" customHeight="1" x14ac:dyDescent="0.2">
      <c r="A8" s="50" t="s">
        <v>48</v>
      </c>
      <c r="B8" s="51" t="s">
        <v>49</v>
      </c>
      <c r="C8" s="160" t="s">
        <v>352</v>
      </c>
    </row>
    <row r="9" spans="1:3" ht="12.75" customHeight="1" x14ac:dyDescent="0.2">
      <c r="A9" s="50" t="s">
        <v>50</v>
      </c>
      <c r="B9" s="51" t="s">
        <v>51</v>
      </c>
      <c r="C9" s="160" t="s">
        <v>52</v>
      </c>
    </row>
    <row r="10" spans="1:3" ht="12.75" customHeight="1" x14ac:dyDescent="0.2">
      <c r="A10" s="51" t="s">
        <v>53</v>
      </c>
      <c r="B10" s="50" t="s">
        <v>54</v>
      </c>
      <c r="C10" s="160" t="s">
        <v>55</v>
      </c>
    </row>
    <row r="11" spans="1:3" ht="12.75" customHeight="1" x14ac:dyDescent="0.2">
      <c r="A11" s="51" t="s">
        <v>56</v>
      </c>
      <c r="B11" s="51" t="s">
        <v>57</v>
      </c>
      <c r="C11" s="160" t="s">
        <v>353</v>
      </c>
    </row>
    <row r="12" spans="1:3" ht="12.75" customHeight="1" x14ac:dyDescent="0.2">
      <c r="A12" s="51" t="s">
        <v>58</v>
      </c>
      <c r="B12" s="51" t="s">
        <v>59</v>
      </c>
      <c r="C12" s="160" t="s">
        <v>354</v>
      </c>
    </row>
    <row r="13" spans="1:3" ht="12.75" customHeight="1" x14ac:dyDescent="0.2">
      <c r="A13" s="51" t="s">
        <v>60</v>
      </c>
      <c r="B13" s="51" t="s">
        <v>61</v>
      </c>
      <c r="C13" s="161" t="s">
        <v>355</v>
      </c>
    </row>
    <row r="14" spans="1:3" ht="12.75" customHeight="1" x14ac:dyDescent="0.2">
      <c r="A14" s="50" t="s">
        <v>62</v>
      </c>
      <c r="B14" s="51" t="s">
        <v>63</v>
      </c>
      <c r="C14" s="162">
        <v>1234567</v>
      </c>
    </row>
    <row r="15" spans="1:3" ht="12.75" customHeight="1" x14ac:dyDescent="0.2">
      <c r="A15" s="50" t="s">
        <v>64</v>
      </c>
      <c r="B15" s="51" t="s">
        <v>65</v>
      </c>
      <c r="C15" s="162">
        <v>12345678</v>
      </c>
    </row>
    <row r="16" spans="1:3" ht="12.75" customHeight="1" x14ac:dyDescent="0.2">
      <c r="A16" s="50" t="s">
        <v>66</v>
      </c>
      <c r="B16" s="51" t="s">
        <v>67</v>
      </c>
      <c r="C16" s="162">
        <v>123456789</v>
      </c>
    </row>
    <row r="17" spans="1:3" ht="12.75" customHeight="1" x14ac:dyDescent="0.2">
      <c r="A17" s="50" t="s">
        <v>68</v>
      </c>
      <c r="B17" s="51" t="s">
        <v>69</v>
      </c>
      <c r="C17" s="160" t="s">
        <v>356</v>
      </c>
    </row>
    <row r="18" spans="1:3" ht="12.75" customHeight="1" x14ac:dyDescent="0.2">
      <c r="A18" s="50" t="s">
        <v>70</v>
      </c>
      <c r="B18" s="51" t="s">
        <v>71</v>
      </c>
      <c r="C18" s="160" t="s">
        <v>72</v>
      </c>
    </row>
    <row r="19" spans="1:3" ht="12.75" customHeight="1" x14ac:dyDescent="0.2">
      <c r="A19" s="45" t="s">
        <v>73</v>
      </c>
      <c r="B19" s="54"/>
      <c r="C19" s="47"/>
    </row>
    <row r="20" spans="1:3" ht="38.25" x14ac:dyDescent="0.2">
      <c r="A20" s="50" t="s">
        <v>74</v>
      </c>
      <c r="B20" s="50" t="s">
        <v>75</v>
      </c>
      <c r="C20" s="55" t="s">
        <v>76</v>
      </c>
    </row>
    <row r="21" spans="1:3" ht="12.75" customHeight="1" x14ac:dyDescent="0.2">
      <c r="A21" s="51" t="s">
        <v>77</v>
      </c>
      <c r="B21" s="51" t="s">
        <v>78</v>
      </c>
      <c r="C21" s="52" t="s">
        <v>79</v>
      </c>
    </row>
    <row r="22" spans="1:3" ht="12.75" customHeight="1" x14ac:dyDescent="0.2">
      <c r="A22" s="51" t="s">
        <v>80</v>
      </c>
      <c r="B22" s="51" t="s">
        <v>81</v>
      </c>
      <c r="C22" s="52" t="s">
        <v>82</v>
      </c>
    </row>
    <row r="23" spans="1:3" ht="12.75" customHeight="1" x14ac:dyDescent="0.2">
      <c r="A23" s="51" t="s">
        <v>83</v>
      </c>
      <c r="B23" s="51" t="s">
        <v>84</v>
      </c>
      <c r="C23" s="52" t="s">
        <v>84</v>
      </c>
    </row>
    <row r="24" spans="1:3" ht="12.75" customHeight="1" x14ac:dyDescent="0.2">
      <c r="A24" s="51" t="s">
        <v>85</v>
      </c>
      <c r="B24" s="51" t="s">
        <v>86</v>
      </c>
      <c r="C24" s="52" t="s">
        <v>86</v>
      </c>
    </row>
    <row r="25" spans="1:3" ht="12.75" customHeight="1" x14ac:dyDescent="0.2">
      <c r="A25" s="51" t="s">
        <v>87</v>
      </c>
      <c r="B25" s="51" t="s">
        <v>88</v>
      </c>
      <c r="C25" s="52" t="s">
        <v>88</v>
      </c>
    </row>
    <row r="26" spans="1:3" ht="12.75" customHeight="1" x14ac:dyDescent="0.2">
      <c r="A26" s="51" t="s">
        <v>89</v>
      </c>
      <c r="B26" s="51" t="s">
        <v>90</v>
      </c>
      <c r="C26" s="52" t="s">
        <v>90</v>
      </c>
    </row>
    <row r="27" spans="1:3" ht="12.75" customHeight="1" x14ac:dyDescent="0.2">
      <c r="A27" s="51" t="s">
        <v>91</v>
      </c>
      <c r="B27" s="51" t="s">
        <v>92</v>
      </c>
      <c r="C27" s="52" t="s">
        <v>92</v>
      </c>
    </row>
    <row r="28" spans="1:3" ht="12.75" customHeight="1" x14ac:dyDescent="0.2">
      <c r="A28" s="51" t="s">
        <v>93</v>
      </c>
      <c r="B28" s="51" t="s">
        <v>94</v>
      </c>
      <c r="C28" s="52" t="s">
        <v>94</v>
      </c>
    </row>
    <row r="29" spans="1:3" ht="12.75" customHeight="1" x14ac:dyDescent="0.2">
      <c r="A29" s="51" t="s">
        <v>95</v>
      </c>
      <c r="B29" s="51" t="s">
        <v>96</v>
      </c>
      <c r="C29" s="52" t="s">
        <v>96</v>
      </c>
    </row>
    <row r="30" spans="1:3" ht="12.75" customHeight="1" x14ac:dyDescent="0.2">
      <c r="A30" s="108" t="s">
        <v>292</v>
      </c>
      <c r="B30" s="109" t="s">
        <v>293</v>
      </c>
      <c r="C30" s="110" t="s">
        <v>293</v>
      </c>
    </row>
    <row r="31" spans="1:3" ht="12.75" customHeight="1" x14ac:dyDescent="0.2">
      <c r="A31" s="111" t="s">
        <v>294</v>
      </c>
      <c r="B31" s="109" t="s">
        <v>295</v>
      </c>
      <c r="C31" s="110" t="s">
        <v>295</v>
      </c>
    </row>
    <row r="32" spans="1:3" ht="12.75" customHeight="1" x14ac:dyDescent="0.2">
      <c r="A32" s="108" t="s">
        <v>296</v>
      </c>
      <c r="B32" s="109" t="s">
        <v>297</v>
      </c>
      <c r="C32" s="110" t="s">
        <v>297</v>
      </c>
    </row>
    <row r="33" spans="1:3" ht="12.75" customHeight="1" x14ac:dyDescent="0.2">
      <c r="A33" s="45" t="s">
        <v>97</v>
      </c>
      <c r="B33" s="54"/>
      <c r="C33" s="47"/>
    </row>
    <row r="34" spans="1:3" ht="12.75" customHeight="1" x14ac:dyDescent="0.2">
      <c r="A34" s="50" t="s">
        <v>98</v>
      </c>
      <c r="B34" s="51" t="s">
        <v>99</v>
      </c>
      <c r="C34" s="116">
        <v>40017</v>
      </c>
    </row>
    <row r="35" spans="1:3" ht="12.75" customHeight="1" x14ac:dyDescent="0.2">
      <c r="A35" s="50" t="s">
        <v>100</v>
      </c>
      <c r="B35" s="51" t="s">
        <v>101</v>
      </c>
      <c r="C35" s="53" t="s">
        <v>102</v>
      </c>
    </row>
    <row r="36" spans="1:3" ht="12.75" customHeight="1" x14ac:dyDescent="0.2">
      <c r="A36" s="50" t="s">
        <v>103</v>
      </c>
      <c r="B36" s="50" t="s">
        <v>104</v>
      </c>
      <c r="C36" s="52" t="s">
        <v>105</v>
      </c>
    </row>
    <row r="37" spans="1:3" ht="12.75" customHeight="1" x14ac:dyDescent="0.2">
      <c r="A37" s="45" t="s">
        <v>106</v>
      </c>
      <c r="B37" s="54"/>
      <c r="C37" s="56"/>
    </row>
    <row r="38" spans="1:3" ht="12.75" customHeight="1" x14ac:dyDescent="0.2">
      <c r="A38" s="105" t="s">
        <v>289</v>
      </c>
      <c r="B38" s="106" t="s">
        <v>290</v>
      </c>
      <c r="C38" s="107" t="s">
        <v>291</v>
      </c>
    </row>
    <row r="39" spans="1:3" ht="102" x14ac:dyDescent="0.2">
      <c r="A39" s="50" t="s">
        <v>107</v>
      </c>
      <c r="B39" s="51" t="s">
        <v>108</v>
      </c>
      <c r="C39" s="57" t="s">
        <v>109</v>
      </c>
    </row>
    <row r="40" spans="1:3" ht="12.75" customHeight="1" x14ac:dyDescent="0.2">
      <c r="A40" s="50" t="s">
        <v>110</v>
      </c>
      <c r="B40" s="51" t="s">
        <v>111</v>
      </c>
      <c r="C40" s="52" t="s">
        <v>112</v>
      </c>
    </row>
    <row r="41" spans="1:3" ht="12.75" customHeight="1" x14ac:dyDescent="0.2">
      <c r="A41" s="50" t="s">
        <v>113</v>
      </c>
      <c r="B41" s="51" t="s">
        <v>114</v>
      </c>
      <c r="C41" s="52" t="s">
        <v>114</v>
      </c>
    </row>
    <row r="42" spans="1:3" ht="12.75" customHeight="1" x14ac:dyDescent="0.2">
      <c r="A42" s="50" t="s">
        <v>115</v>
      </c>
      <c r="B42" s="51" t="s">
        <v>116</v>
      </c>
      <c r="C42" s="52" t="s">
        <v>52</v>
      </c>
    </row>
    <row r="43" spans="1:3" ht="12.75" customHeight="1" x14ac:dyDescent="0.2">
      <c r="A43" s="50" t="s">
        <v>117</v>
      </c>
      <c r="B43" s="50" t="s">
        <v>118</v>
      </c>
      <c r="C43" s="52" t="s">
        <v>55</v>
      </c>
    </row>
    <row r="44" spans="1:3" ht="12.75" customHeight="1" x14ac:dyDescent="0.2">
      <c r="A44" s="50" t="s">
        <v>119</v>
      </c>
      <c r="B44" s="50" t="s">
        <v>120</v>
      </c>
      <c r="C44" s="52" t="s">
        <v>120</v>
      </c>
    </row>
    <row r="45" spans="1:3" ht="12.75" customHeight="1" x14ac:dyDescent="0.2">
      <c r="A45" s="50" t="s">
        <v>121</v>
      </c>
      <c r="B45" s="50" t="s">
        <v>122</v>
      </c>
      <c r="C45" s="52" t="s">
        <v>122</v>
      </c>
    </row>
    <row r="46" spans="1:3" ht="12.75" customHeight="1" x14ac:dyDescent="0.2">
      <c r="A46" s="50" t="s">
        <v>123</v>
      </c>
      <c r="B46" s="50" t="s">
        <v>124</v>
      </c>
      <c r="C46" s="52" t="s">
        <v>124</v>
      </c>
    </row>
    <row r="47" spans="1:3" ht="12.75" customHeight="1" x14ac:dyDescent="0.2">
      <c r="A47" s="50" t="s">
        <v>125</v>
      </c>
      <c r="B47" s="50" t="s">
        <v>126</v>
      </c>
      <c r="C47" s="52" t="s">
        <v>126</v>
      </c>
    </row>
    <row r="48" spans="1:3" ht="12.75" customHeight="1" x14ac:dyDescent="0.2">
      <c r="A48" s="50" t="s">
        <v>127</v>
      </c>
      <c r="B48" s="50" t="s">
        <v>128</v>
      </c>
      <c r="C48" s="52" t="s">
        <v>129</v>
      </c>
    </row>
    <row r="49" spans="1:3" ht="12.75" customHeight="1" x14ac:dyDescent="0.2">
      <c r="A49" s="112" t="s">
        <v>298</v>
      </c>
      <c r="B49" s="112" t="s">
        <v>299</v>
      </c>
      <c r="C49" s="113" t="s">
        <v>300</v>
      </c>
    </row>
    <row r="50" spans="1:3" ht="12.75" customHeight="1" x14ac:dyDescent="0.2">
      <c r="A50" s="112" t="s">
        <v>301</v>
      </c>
      <c r="B50" s="112" t="s">
        <v>302</v>
      </c>
      <c r="C50" s="113" t="s">
        <v>357</v>
      </c>
    </row>
    <row r="51" spans="1:3" ht="12.75" customHeight="1" x14ac:dyDescent="0.2">
      <c r="A51" s="112" t="s">
        <v>303</v>
      </c>
      <c r="B51" s="112" t="s">
        <v>304</v>
      </c>
      <c r="C51" s="113" t="s">
        <v>305</v>
      </c>
    </row>
    <row r="52" spans="1:3" ht="12.75" customHeight="1" x14ac:dyDescent="0.2">
      <c r="A52" s="112" t="s">
        <v>306</v>
      </c>
      <c r="B52" s="112" t="s">
        <v>307</v>
      </c>
      <c r="C52" s="113">
        <v>52783850</v>
      </c>
    </row>
    <row r="53" spans="1:3" ht="12.75" customHeight="1" x14ac:dyDescent="0.2">
      <c r="A53" s="112" t="s">
        <v>308</v>
      </c>
      <c r="B53" s="112" t="s">
        <v>309</v>
      </c>
      <c r="C53" s="114" t="s">
        <v>355</v>
      </c>
    </row>
    <row r="54" spans="1:3" ht="12.75" customHeight="1" x14ac:dyDescent="0.2">
      <c r="A54" s="50" t="s">
        <v>130</v>
      </c>
      <c r="B54" s="51" t="s">
        <v>131</v>
      </c>
      <c r="C54" s="116">
        <v>40026</v>
      </c>
    </row>
    <row r="55" spans="1:3" ht="12.75" customHeight="1" x14ac:dyDescent="0.2">
      <c r="A55" s="58" t="s">
        <v>132</v>
      </c>
      <c r="B55" s="59" t="s">
        <v>133</v>
      </c>
      <c r="C55" s="117">
        <v>40178</v>
      </c>
    </row>
    <row r="56" spans="1:3" ht="12.75" customHeight="1" x14ac:dyDescent="0.2">
      <c r="A56" s="50" t="s">
        <v>134</v>
      </c>
      <c r="B56" s="51" t="s">
        <v>135</v>
      </c>
      <c r="C56" s="60" t="s">
        <v>358</v>
      </c>
    </row>
    <row r="57" spans="1:3" ht="12.75" customHeight="1" x14ac:dyDescent="0.2">
      <c r="A57" s="50" t="s">
        <v>136</v>
      </c>
      <c r="B57" s="51" t="s">
        <v>137</v>
      </c>
      <c r="C57" s="60" t="s">
        <v>359</v>
      </c>
    </row>
    <row r="58" spans="1:3" ht="12.75" customHeight="1" x14ac:dyDescent="0.2">
      <c r="A58" s="50" t="s">
        <v>138</v>
      </c>
      <c r="B58" s="51" t="s">
        <v>139</v>
      </c>
      <c r="C58" s="61" t="s">
        <v>360</v>
      </c>
    </row>
    <row r="59" spans="1:3" ht="12.75" customHeight="1" x14ac:dyDescent="0.2">
      <c r="A59" s="45" t="s">
        <v>140</v>
      </c>
      <c r="B59" s="54"/>
      <c r="C59" s="47"/>
    </row>
    <row r="60" spans="1:3" ht="12.75" customHeight="1" x14ac:dyDescent="0.2">
      <c r="A60" s="51" t="s">
        <v>141</v>
      </c>
      <c r="B60" s="51" t="s">
        <v>142</v>
      </c>
      <c r="C60" s="52">
        <v>153</v>
      </c>
    </row>
    <row r="61" spans="1:3" ht="12.75" customHeight="1" x14ac:dyDescent="0.2">
      <c r="A61" s="51" t="s">
        <v>143</v>
      </c>
      <c r="B61" s="51" t="s">
        <v>144</v>
      </c>
      <c r="C61" s="52">
        <v>133</v>
      </c>
    </row>
    <row r="62" spans="1:3" ht="12.75" customHeight="1" x14ac:dyDescent="0.2">
      <c r="A62" s="50" t="s">
        <v>145</v>
      </c>
      <c r="B62" s="50" t="s">
        <v>146</v>
      </c>
      <c r="C62" s="52">
        <v>2</v>
      </c>
    </row>
    <row r="63" spans="1:3" ht="12.75" customHeight="1" x14ac:dyDescent="0.2">
      <c r="A63" s="50" t="s">
        <v>147</v>
      </c>
      <c r="B63" s="50" t="s">
        <v>148</v>
      </c>
      <c r="C63" s="52" t="s">
        <v>149</v>
      </c>
    </row>
    <row r="64" spans="1:3" ht="12.75" customHeight="1" x14ac:dyDescent="0.2">
      <c r="A64" s="50" t="s">
        <v>150</v>
      </c>
      <c r="B64" s="50" t="s">
        <v>151</v>
      </c>
      <c r="C64" s="52" t="s">
        <v>152</v>
      </c>
    </row>
    <row r="65" spans="1:3" ht="12.75" customHeight="1" x14ac:dyDescent="0.2">
      <c r="A65" s="50" t="s">
        <v>153</v>
      </c>
      <c r="B65" s="50" t="s">
        <v>154</v>
      </c>
      <c r="C65" s="52" t="s">
        <v>155</v>
      </c>
    </row>
    <row r="66" spans="1:3" ht="12.75" customHeight="1" x14ac:dyDescent="0.2">
      <c r="A66" s="50" t="s">
        <v>156</v>
      </c>
      <c r="B66" s="50" t="s">
        <v>157</v>
      </c>
      <c r="C66" s="52" t="s">
        <v>158</v>
      </c>
    </row>
    <row r="67" spans="1:3" ht="12.75" customHeight="1" x14ac:dyDescent="0.2">
      <c r="A67" s="62" t="s">
        <v>159</v>
      </c>
      <c r="B67" s="63"/>
      <c r="C67" s="64"/>
    </row>
    <row r="68" spans="1:3" ht="12.75" customHeight="1" x14ac:dyDescent="0.2">
      <c r="A68" s="50" t="s">
        <v>160</v>
      </c>
      <c r="B68" s="51" t="s">
        <v>161</v>
      </c>
      <c r="C68" s="52" t="s">
        <v>162</v>
      </c>
    </row>
    <row r="69" spans="1:3" ht="12.75" customHeight="1" x14ac:dyDescent="0.2">
      <c r="A69" s="50" t="s">
        <v>163</v>
      </c>
      <c r="B69" s="51" t="s">
        <v>164</v>
      </c>
      <c r="C69" s="116">
        <v>39995</v>
      </c>
    </row>
    <row r="70" spans="1:3" ht="12.75" customHeight="1" x14ac:dyDescent="0.2">
      <c r="A70" s="65" t="s">
        <v>165</v>
      </c>
      <c r="B70" s="51" t="s">
        <v>166</v>
      </c>
      <c r="C70" s="66" t="s">
        <v>167</v>
      </c>
    </row>
    <row r="71" spans="1:3" ht="12.75" customHeight="1" x14ac:dyDescent="0.2">
      <c r="A71" s="45" t="s">
        <v>2</v>
      </c>
      <c r="B71" s="54"/>
      <c r="C71" s="47"/>
    </row>
    <row r="72" spans="1:3" ht="12.75" customHeight="1" x14ac:dyDescent="0.2">
      <c r="A72" s="51" t="s">
        <v>310</v>
      </c>
      <c r="B72" s="120" t="s">
        <v>334</v>
      </c>
      <c r="C72" s="119">
        <v>1</v>
      </c>
    </row>
    <row r="73" spans="1:3" ht="12.75" customHeight="1" x14ac:dyDescent="0.2">
      <c r="A73" s="120" t="s">
        <v>311</v>
      </c>
      <c r="B73" s="50" t="s">
        <v>238</v>
      </c>
      <c r="C73" s="52" t="s">
        <v>348</v>
      </c>
    </row>
    <row r="74" spans="1:3" ht="12.75" customHeight="1" x14ac:dyDescent="0.2">
      <c r="A74" s="51" t="s">
        <v>312</v>
      </c>
      <c r="B74" s="51" t="s">
        <v>180</v>
      </c>
      <c r="C74" s="139">
        <v>40597</v>
      </c>
    </row>
    <row r="75" spans="1:3" ht="12.75" customHeight="1" x14ac:dyDescent="0.2">
      <c r="A75" s="120" t="s">
        <v>313</v>
      </c>
      <c r="B75" s="50" t="s">
        <v>181</v>
      </c>
      <c r="C75" s="52" t="s">
        <v>182</v>
      </c>
    </row>
    <row r="76" spans="1:3" ht="12.75" customHeight="1" x14ac:dyDescent="0.2">
      <c r="A76" s="120" t="s">
        <v>314</v>
      </c>
      <c r="B76" s="120" t="s">
        <v>315</v>
      </c>
      <c r="C76" s="52" t="s">
        <v>321</v>
      </c>
    </row>
    <row r="77" spans="1:3" ht="12.75" customHeight="1" x14ac:dyDescent="0.2">
      <c r="A77" s="120" t="s">
        <v>316</v>
      </c>
      <c r="B77" s="50" t="s">
        <v>183</v>
      </c>
      <c r="C77" s="140">
        <v>11306293.279999999</v>
      </c>
    </row>
    <row r="78" spans="1:3" ht="12.75" customHeight="1" x14ac:dyDescent="0.2">
      <c r="A78" s="120" t="s">
        <v>317</v>
      </c>
      <c r="B78" s="50" t="s">
        <v>184</v>
      </c>
      <c r="C78" s="141">
        <v>0</v>
      </c>
    </row>
    <row r="79" spans="1:3" ht="12.75" customHeight="1" x14ac:dyDescent="0.2">
      <c r="A79" s="120" t="s">
        <v>318</v>
      </c>
      <c r="B79" s="50" t="s">
        <v>185</v>
      </c>
      <c r="C79" s="140">
        <v>1033395.21</v>
      </c>
    </row>
    <row r="80" spans="1:3" ht="12.75" customHeight="1" x14ac:dyDescent="0.2">
      <c r="A80" s="120" t="s">
        <v>319</v>
      </c>
      <c r="B80" s="50" t="s">
        <v>186</v>
      </c>
      <c r="C80" s="142">
        <v>16</v>
      </c>
    </row>
    <row r="81" spans="1:3" x14ac:dyDescent="0.2">
      <c r="A81" s="120" t="s">
        <v>320</v>
      </c>
      <c r="B81" s="50" t="s">
        <v>239</v>
      </c>
      <c r="C81" s="140">
        <v>1809006.92</v>
      </c>
    </row>
    <row r="82" spans="1:3" x14ac:dyDescent="0.2">
      <c r="A82" s="45" t="s">
        <v>37</v>
      </c>
      <c r="B82" s="54"/>
      <c r="C82" s="47"/>
    </row>
    <row r="83" spans="1:3" x14ac:dyDescent="0.2">
      <c r="A83" s="50" t="s">
        <v>211</v>
      </c>
      <c r="B83" s="50" t="s">
        <v>261</v>
      </c>
      <c r="C83" s="52" t="s">
        <v>356</v>
      </c>
    </row>
    <row r="84" spans="1:3" x14ac:dyDescent="0.2">
      <c r="A84" s="50" t="s">
        <v>212</v>
      </c>
      <c r="B84" s="50" t="s">
        <v>262</v>
      </c>
      <c r="C84" s="52" t="s">
        <v>219</v>
      </c>
    </row>
    <row r="85" spans="1:3" x14ac:dyDescent="0.2">
      <c r="A85" s="50" t="s">
        <v>242</v>
      </c>
      <c r="B85" s="50" t="s">
        <v>263</v>
      </c>
      <c r="C85" s="52" t="s">
        <v>243</v>
      </c>
    </row>
    <row r="86" spans="1:3" x14ac:dyDescent="0.2">
      <c r="A86" s="50" t="s">
        <v>213</v>
      </c>
      <c r="B86" s="50" t="s">
        <v>264</v>
      </c>
      <c r="C86" s="52" t="s">
        <v>356</v>
      </c>
    </row>
    <row r="87" spans="1:3" x14ac:dyDescent="0.2">
      <c r="A87" s="50" t="s">
        <v>214</v>
      </c>
      <c r="B87" s="50" t="s">
        <v>266</v>
      </c>
      <c r="C87" s="52" t="s">
        <v>220</v>
      </c>
    </row>
    <row r="88" spans="1:3" x14ac:dyDescent="0.2">
      <c r="A88" s="50" t="s">
        <v>244</v>
      </c>
      <c r="B88" s="50" t="s">
        <v>265</v>
      </c>
      <c r="C88" s="52" t="s">
        <v>245</v>
      </c>
    </row>
    <row r="89" spans="1:3" x14ac:dyDescent="0.2">
      <c r="A89" s="50" t="s">
        <v>215</v>
      </c>
      <c r="B89" s="50" t="s">
        <v>267</v>
      </c>
      <c r="C89" s="52" t="s">
        <v>356</v>
      </c>
    </row>
    <row r="90" spans="1:3" x14ac:dyDescent="0.2">
      <c r="A90" s="50" t="s">
        <v>216</v>
      </c>
      <c r="B90" s="50" t="s">
        <v>268</v>
      </c>
      <c r="C90" s="52" t="s">
        <v>221</v>
      </c>
    </row>
    <row r="91" spans="1:3" x14ac:dyDescent="0.2">
      <c r="A91" s="50" t="s">
        <v>246</v>
      </c>
      <c r="B91" s="50" t="s">
        <v>269</v>
      </c>
      <c r="C91" s="52" t="s">
        <v>247</v>
      </c>
    </row>
    <row r="92" spans="1:3" x14ac:dyDescent="0.2">
      <c r="A92" s="50" t="s">
        <v>217</v>
      </c>
      <c r="B92" s="50" t="s">
        <v>270</v>
      </c>
      <c r="C92" s="52" t="s">
        <v>356</v>
      </c>
    </row>
    <row r="93" spans="1:3" x14ac:dyDescent="0.2">
      <c r="A93" s="50" t="s">
        <v>218</v>
      </c>
      <c r="B93" s="50" t="s">
        <v>271</v>
      </c>
      <c r="C93" s="52" t="s">
        <v>322</v>
      </c>
    </row>
    <row r="94" spans="1:3" x14ac:dyDescent="0.2">
      <c r="A94" s="50" t="s">
        <v>248</v>
      </c>
      <c r="B94" s="50" t="s">
        <v>272</v>
      </c>
      <c r="C94" s="52" t="s">
        <v>335</v>
      </c>
    </row>
    <row r="95" spans="1:3" x14ac:dyDescent="0.2">
      <c r="A95" s="50" t="s">
        <v>249</v>
      </c>
      <c r="B95" s="50" t="s">
        <v>273</v>
      </c>
      <c r="C95" s="141" t="s">
        <v>336</v>
      </c>
    </row>
    <row r="96" spans="1:3" x14ac:dyDescent="0.2">
      <c r="A96" s="50" t="s">
        <v>250</v>
      </c>
      <c r="B96" s="50" t="s">
        <v>274</v>
      </c>
      <c r="C96" s="141" t="s">
        <v>337</v>
      </c>
    </row>
    <row r="97" spans="1:3" x14ac:dyDescent="0.2">
      <c r="A97" s="50" t="s">
        <v>251</v>
      </c>
      <c r="B97" s="50" t="s">
        <v>275</v>
      </c>
      <c r="C97" s="141" t="s">
        <v>344</v>
      </c>
    </row>
    <row r="98" spans="1:3" x14ac:dyDescent="0.2">
      <c r="A98" s="50" t="s">
        <v>252</v>
      </c>
      <c r="B98" s="50" t="s">
        <v>276</v>
      </c>
      <c r="C98" s="141" t="s">
        <v>338</v>
      </c>
    </row>
    <row r="99" spans="1:3" x14ac:dyDescent="0.2">
      <c r="A99" s="50" t="s">
        <v>253</v>
      </c>
      <c r="B99" s="50" t="s">
        <v>277</v>
      </c>
      <c r="C99" s="141" t="s">
        <v>339</v>
      </c>
    </row>
    <row r="100" spans="1:3" x14ac:dyDescent="0.2">
      <c r="A100" s="50" t="s">
        <v>254</v>
      </c>
      <c r="B100" s="50" t="s">
        <v>278</v>
      </c>
      <c r="C100" s="141" t="s">
        <v>345</v>
      </c>
    </row>
    <row r="101" spans="1:3" x14ac:dyDescent="0.2">
      <c r="A101" s="50" t="s">
        <v>255</v>
      </c>
      <c r="B101" s="50" t="s">
        <v>279</v>
      </c>
      <c r="C101" s="141" t="s">
        <v>340</v>
      </c>
    </row>
    <row r="102" spans="1:3" x14ac:dyDescent="0.2">
      <c r="A102" s="50" t="s">
        <v>256</v>
      </c>
      <c r="B102" s="50" t="s">
        <v>280</v>
      </c>
      <c r="C102" s="141" t="s">
        <v>341</v>
      </c>
    </row>
    <row r="103" spans="1:3" x14ac:dyDescent="0.2">
      <c r="A103" s="50" t="s">
        <v>257</v>
      </c>
      <c r="B103" s="50" t="s">
        <v>281</v>
      </c>
      <c r="C103" s="141" t="s">
        <v>346</v>
      </c>
    </row>
    <row r="104" spans="1:3" x14ac:dyDescent="0.2">
      <c r="A104" s="50" t="s">
        <v>258</v>
      </c>
      <c r="B104" s="50" t="s">
        <v>282</v>
      </c>
      <c r="C104" s="141" t="s">
        <v>342</v>
      </c>
    </row>
    <row r="105" spans="1:3" x14ac:dyDescent="0.2">
      <c r="A105" s="50" t="s">
        <v>259</v>
      </c>
      <c r="B105" s="50" t="s">
        <v>283</v>
      </c>
      <c r="C105" s="141" t="s">
        <v>343</v>
      </c>
    </row>
    <row r="106" spans="1:3" x14ac:dyDescent="0.2">
      <c r="A106" s="50" t="s">
        <v>260</v>
      </c>
      <c r="B106" s="50" t="s">
        <v>284</v>
      </c>
      <c r="C106" s="141" t="s">
        <v>347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opLeftCell="A13" workbookViewId="0">
      <selection activeCell="B64" sqref="B64"/>
    </sheetView>
  </sheetViews>
  <sheetFormatPr baseColWidth="10" defaultRowHeight="11.25" x14ac:dyDescent="0.2"/>
  <cols>
    <col min="1" max="1" width="36.85546875" style="68" bestFit="1" customWidth="1"/>
    <col min="2" max="2" width="45.140625" style="68" customWidth="1"/>
    <col min="3" max="4" width="11.42578125" style="68"/>
    <col min="5" max="5" width="37.140625" style="68" customWidth="1"/>
    <col min="6" max="6" width="12.28515625" style="68" bestFit="1" customWidth="1"/>
    <col min="7" max="7" width="19.42578125" style="68" bestFit="1" customWidth="1"/>
    <col min="8" max="8" width="13.7109375" style="68" bestFit="1" customWidth="1"/>
    <col min="9" max="16384" width="11.42578125" style="68"/>
  </cols>
  <sheetData>
    <row r="1" spans="1:8" x14ac:dyDescent="0.2">
      <c r="A1" s="67" t="s">
        <v>168</v>
      </c>
      <c r="B1" s="67" t="s">
        <v>169</v>
      </c>
      <c r="D1" s="146" t="s">
        <v>178</v>
      </c>
      <c r="E1" s="147"/>
      <c r="F1" s="147"/>
      <c r="G1" s="147"/>
      <c r="H1" s="147"/>
    </row>
    <row r="2" spans="1:8" x14ac:dyDescent="0.2">
      <c r="A2" s="68" t="s">
        <v>172</v>
      </c>
      <c r="B2" s="122" t="s">
        <v>323</v>
      </c>
      <c r="D2" s="67" t="s">
        <v>171</v>
      </c>
      <c r="E2" s="67" t="s">
        <v>170</v>
      </c>
      <c r="F2" s="67" t="s">
        <v>175</v>
      </c>
      <c r="G2" s="67" t="s">
        <v>176</v>
      </c>
      <c r="H2" s="67" t="s">
        <v>177</v>
      </c>
    </row>
    <row r="3" spans="1:8" ht="13.5" customHeight="1" x14ac:dyDescent="0.2">
      <c r="A3" s="68" t="s">
        <v>173</v>
      </c>
      <c r="B3" s="118">
        <v>40610</v>
      </c>
      <c r="D3" s="130" t="s">
        <v>328</v>
      </c>
      <c r="E3" s="131" t="s">
        <v>329</v>
      </c>
      <c r="F3" s="132">
        <v>1110936</v>
      </c>
      <c r="G3" s="132">
        <v>211076</v>
      </c>
      <c r="H3" s="133">
        <v>688784</v>
      </c>
    </row>
    <row r="4" spans="1:8" x14ac:dyDescent="0.2">
      <c r="A4" s="68" t="s">
        <v>174</v>
      </c>
      <c r="B4" s="123" t="s">
        <v>324</v>
      </c>
      <c r="D4" s="134" t="s">
        <v>330</v>
      </c>
      <c r="E4" s="135" t="s">
        <v>331</v>
      </c>
      <c r="F4" s="136">
        <v>7848220</v>
      </c>
      <c r="G4" s="126">
        <v>3123350</v>
      </c>
      <c r="H4" s="137">
        <v>4708932</v>
      </c>
    </row>
    <row r="5" spans="1:8" x14ac:dyDescent="0.2">
      <c r="A5" s="68" t="s">
        <v>179</v>
      </c>
      <c r="B5" s="88">
        <v>12345</v>
      </c>
      <c r="D5" s="138" t="s">
        <v>332</v>
      </c>
      <c r="E5" s="126" t="s">
        <v>333</v>
      </c>
      <c r="F5" s="126">
        <v>2347137.2799999998</v>
      </c>
      <c r="G5" s="126">
        <v>906900.47999999998</v>
      </c>
      <c r="H5" s="137">
        <v>1028737.28</v>
      </c>
    </row>
    <row r="6" spans="1:8" ht="10.5" customHeight="1" x14ac:dyDescent="0.2">
      <c r="A6" s="79" t="s">
        <v>187</v>
      </c>
      <c r="B6" s="124">
        <v>4241326.4800000004</v>
      </c>
      <c r="D6" s="72"/>
      <c r="E6" s="70"/>
      <c r="F6" s="70"/>
      <c r="G6" s="70"/>
      <c r="H6" s="71"/>
    </row>
    <row r="7" spans="1:8" x14ac:dyDescent="0.2">
      <c r="A7" s="79" t="s">
        <v>188</v>
      </c>
      <c r="B7" s="124">
        <v>0</v>
      </c>
      <c r="D7" s="72"/>
      <c r="E7" s="70"/>
      <c r="F7" s="70"/>
      <c r="G7" s="70"/>
      <c r="H7" s="71"/>
    </row>
    <row r="8" spans="1:8" x14ac:dyDescent="0.2">
      <c r="A8" s="79" t="s">
        <v>189</v>
      </c>
      <c r="B8" s="124">
        <v>0</v>
      </c>
      <c r="D8" s="72"/>
      <c r="E8" s="70"/>
      <c r="F8" s="70"/>
      <c r="G8" s="70"/>
      <c r="H8" s="71"/>
    </row>
    <row r="9" spans="1:8" x14ac:dyDescent="0.2">
      <c r="A9" s="68" t="s">
        <v>207</v>
      </c>
      <c r="B9" s="125">
        <f>ImporteNEstaEstimacion+ImporteVEstaEstimacion+ImporteXEstaEstimacion</f>
        <v>4241326.4800000004</v>
      </c>
      <c r="D9" s="72"/>
      <c r="E9" s="70"/>
      <c r="F9" s="70"/>
      <c r="G9" s="70"/>
      <c r="H9" s="71"/>
    </row>
    <row r="10" spans="1:8" x14ac:dyDescent="0.2">
      <c r="A10" s="79" t="s">
        <v>222</v>
      </c>
      <c r="B10" s="124">
        <v>2185126.7999999998</v>
      </c>
      <c r="D10" s="72"/>
      <c r="E10" s="70"/>
      <c r="F10" s="70"/>
      <c r="G10" s="70"/>
      <c r="H10" s="71"/>
    </row>
    <row r="11" spans="1:8" x14ac:dyDescent="0.2">
      <c r="A11" s="79" t="s">
        <v>190</v>
      </c>
      <c r="B11" s="124">
        <v>27778</v>
      </c>
      <c r="D11" s="72"/>
      <c r="E11" s="70"/>
      <c r="F11" s="70"/>
      <c r="G11" s="70"/>
      <c r="H11" s="71"/>
    </row>
    <row r="12" spans="1:8" x14ac:dyDescent="0.2">
      <c r="A12" s="79" t="s">
        <v>191</v>
      </c>
      <c r="B12" s="124">
        <v>0</v>
      </c>
      <c r="D12" s="72"/>
      <c r="E12" s="70"/>
      <c r="F12" s="70"/>
      <c r="G12" s="70"/>
      <c r="H12" s="71"/>
    </row>
    <row r="13" spans="1:8" x14ac:dyDescent="0.2">
      <c r="A13" s="80" t="s">
        <v>192</v>
      </c>
      <c r="B13" s="124">
        <f>AcumuladoAnteriorN+AcumuladoAnteriorV+AcumuladoAnteriorX</f>
        <v>2212904.7999999998</v>
      </c>
      <c r="D13" s="72"/>
      <c r="E13" s="70"/>
      <c r="F13" s="70"/>
      <c r="G13" s="70"/>
      <c r="H13" s="71"/>
    </row>
    <row r="14" spans="1:8" x14ac:dyDescent="0.2">
      <c r="A14" s="73"/>
      <c r="B14" s="125"/>
      <c r="D14" s="72"/>
      <c r="E14" s="70"/>
      <c r="F14" s="70"/>
      <c r="G14" s="70"/>
      <c r="H14" s="71"/>
    </row>
    <row r="15" spans="1:8" x14ac:dyDescent="0.2">
      <c r="A15" s="79" t="s">
        <v>193</v>
      </c>
      <c r="B15" s="124">
        <v>6426453.2800000003</v>
      </c>
      <c r="C15" s="78"/>
      <c r="D15" s="72"/>
      <c r="E15" s="70"/>
      <c r="F15" s="70"/>
      <c r="G15" s="70"/>
      <c r="H15" s="71"/>
    </row>
    <row r="16" spans="1:8" x14ac:dyDescent="0.2">
      <c r="A16" s="79" t="s">
        <v>194</v>
      </c>
      <c r="B16" s="124">
        <v>27778</v>
      </c>
      <c r="D16" s="72"/>
      <c r="E16" s="70"/>
      <c r="F16" s="70"/>
      <c r="G16" s="70"/>
      <c r="H16" s="71"/>
    </row>
    <row r="17" spans="1:8" x14ac:dyDescent="0.2">
      <c r="A17" s="79" t="s">
        <v>195</v>
      </c>
      <c r="B17" s="124">
        <v>0</v>
      </c>
      <c r="D17" s="72"/>
      <c r="E17" s="70"/>
      <c r="F17" s="70"/>
      <c r="G17" s="70"/>
      <c r="H17" s="71"/>
    </row>
    <row r="18" spans="1:8" x14ac:dyDescent="0.2">
      <c r="A18" s="80" t="s">
        <v>196</v>
      </c>
      <c r="B18" s="124">
        <f>AcumuladoEstaEstimacionN+AcumuladoEstaEstimacionV+AcumuladoEstaEstimacionX</f>
        <v>6454231.2800000003</v>
      </c>
      <c r="D18" s="72"/>
      <c r="E18" s="70"/>
      <c r="F18" s="70"/>
      <c r="G18" s="70"/>
      <c r="H18" s="71"/>
    </row>
    <row r="19" spans="1:8" x14ac:dyDescent="0.2">
      <c r="A19" s="73"/>
      <c r="B19" s="125"/>
      <c r="D19" s="72"/>
      <c r="E19" s="70"/>
      <c r="F19" s="70"/>
      <c r="G19" s="70"/>
      <c r="H19" s="71"/>
    </row>
    <row r="20" spans="1:8" x14ac:dyDescent="0.2">
      <c r="A20" s="79" t="s">
        <v>197</v>
      </c>
      <c r="B20" s="124">
        <f>'N_Campos Generales'!C77 -B15</f>
        <v>4879839.9999999991</v>
      </c>
      <c r="D20" s="72"/>
      <c r="E20" s="70"/>
      <c r="F20" s="70"/>
      <c r="G20" s="70"/>
      <c r="H20" s="71"/>
    </row>
    <row r="21" spans="1:8" x14ac:dyDescent="0.2">
      <c r="A21" s="79" t="s">
        <v>198</v>
      </c>
      <c r="B21" s="124">
        <f>0-AcumuladoEstaEstimacionV</f>
        <v>-27778</v>
      </c>
      <c r="D21" s="72"/>
      <c r="E21" s="70"/>
      <c r="F21" s="70"/>
      <c r="G21" s="70"/>
      <c r="H21" s="71"/>
    </row>
    <row r="22" spans="1:8" x14ac:dyDescent="0.2">
      <c r="A22" s="79" t="s">
        <v>199</v>
      </c>
      <c r="B22" s="124">
        <f>0-AcumuladoEstaEstimacionX</f>
        <v>0</v>
      </c>
      <c r="D22" s="72"/>
      <c r="E22" s="70"/>
      <c r="F22" s="70"/>
      <c r="G22" s="70"/>
      <c r="H22" s="71"/>
    </row>
    <row r="23" spans="1:8" x14ac:dyDescent="0.2">
      <c r="A23" s="80" t="s">
        <v>200</v>
      </c>
      <c r="B23" s="124">
        <f>PorEjercerN+PorEjercerV+PorEjercerX</f>
        <v>4852061.9999999991</v>
      </c>
      <c r="D23" s="72"/>
      <c r="E23" s="70"/>
      <c r="F23" s="70"/>
      <c r="G23" s="70"/>
      <c r="H23" s="71"/>
    </row>
    <row r="24" spans="1:8" x14ac:dyDescent="0.2">
      <c r="B24" s="69"/>
      <c r="D24" s="72"/>
      <c r="E24" s="70"/>
      <c r="F24" s="70"/>
      <c r="G24" s="70"/>
      <c r="H24" s="71"/>
    </row>
    <row r="25" spans="1:8" x14ac:dyDescent="0.2">
      <c r="A25" s="79" t="s">
        <v>203</v>
      </c>
      <c r="B25" s="124">
        <v>387657.24</v>
      </c>
      <c r="D25" s="72"/>
      <c r="E25" s="70"/>
      <c r="F25" s="70"/>
      <c r="G25" s="70"/>
      <c r="H25" s="71"/>
    </row>
    <row r="26" spans="1:8" x14ac:dyDescent="0.2">
      <c r="A26" s="79" t="s">
        <v>204</v>
      </c>
      <c r="B26" s="124">
        <v>310040.96999999997</v>
      </c>
      <c r="D26" s="72"/>
      <c r="E26" s="70"/>
      <c r="F26" s="70"/>
      <c r="G26" s="70"/>
      <c r="H26" s="71"/>
    </row>
    <row r="27" spans="1:8" x14ac:dyDescent="0.2">
      <c r="A27" s="79" t="s">
        <v>325</v>
      </c>
      <c r="B27" s="124">
        <v>231</v>
      </c>
      <c r="D27" s="72"/>
      <c r="E27" s="70"/>
      <c r="F27" s="70"/>
      <c r="G27" s="70"/>
      <c r="H27" s="71"/>
    </row>
    <row r="28" spans="1:8" x14ac:dyDescent="0.2">
      <c r="A28" s="79"/>
      <c r="B28" s="124">
        <f>+AmortizacionAnticipoEstaEstimacion+RetencionFGEstaEstimacion+PagoACuentaEstaEstimacion</f>
        <v>697929.21</v>
      </c>
      <c r="D28" s="72"/>
      <c r="E28" s="70"/>
      <c r="F28" s="70"/>
      <c r="G28" s="70"/>
      <c r="H28" s="71"/>
    </row>
    <row r="29" spans="1:8" x14ac:dyDescent="0.2">
      <c r="A29" s="79" t="s">
        <v>327</v>
      </c>
      <c r="B29" s="124">
        <v>127239.79</v>
      </c>
      <c r="D29" s="72"/>
      <c r="E29" s="70"/>
      <c r="F29" s="70"/>
      <c r="G29" s="70"/>
      <c r="H29" s="71"/>
    </row>
    <row r="30" spans="1:8" x14ac:dyDescent="0.2">
      <c r="A30" s="121"/>
      <c r="B30" s="124">
        <f>B28-B29</f>
        <v>570689.41999999993</v>
      </c>
      <c r="D30" s="72"/>
      <c r="E30" s="70"/>
      <c r="F30" s="70"/>
      <c r="G30" s="70"/>
      <c r="H30" s="71"/>
    </row>
    <row r="31" spans="1:8" x14ac:dyDescent="0.2">
      <c r="A31" s="129" t="s">
        <v>28</v>
      </c>
      <c r="B31" s="126"/>
      <c r="D31" s="72"/>
      <c r="E31" s="70"/>
      <c r="F31" s="70"/>
      <c r="G31" s="70"/>
      <c r="H31" s="71"/>
    </row>
    <row r="32" spans="1:8" x14ac:dyDescent="0.2">
      <c r="A32" s="79" t="s">
        <v>201</v>
      </c>
      <c r="B32" s="124">
        <v>0</v>
      </c>
      <c r="D32" s="72"/>
      <c r="E32" s="70"/>
      <c r="F32" s="70"/>
      <c r="G32" s="70"/>
      <c r="H32" s="71"/>
    </row>
    <row r="33" spans="1:8" x14ac:dyDescent="0.2">
      <c r="A33" s="79" t="s">
        <v>202</v>
      </c>
      <c r="B33" s="124">
        <v>127239.79</v>
      </c>
      <c r="D33" s="72"/>
      <c r="E33" s="70"/>
      <c r="F33" s="70"/>
      <c r="G33" s="70"/>
      <c r="H33" s="71"/>
    </row>
    <row r="34" spans="1:8" x14ac:dyDescent="0.2">
      <c r="A34" s="126"/>
      <c r="B34" s="124">
        <f>+DescuentosEstaEstimacion+DeductivasEstaEstimacion</f>
        <v>127239.79</v>
      </c>
      <c r="D34" s="72"/>
      <c r="E34" s="70"/>
      <c r="F34" s="70"/>
      <c r="G34" s="70"/>
      <c r="H34" s="71"/>
    </row>
    <row r="35" spans="1:8" x14ac:dyDescent="0.2">
      <c r="A35" s="126"/>
      <c r="B35" s="127"/>
      <c r="D35" s="72"/>
      <c r="E35" s="70"/>
      <c r="F35" s="70"/>
      <c r="G35" s="70"/>
      <c r="H35" s="71"/>
    </row>
    <row r="36" spans="1:8" x14ac:dyDescent="0.2">
      <c r="A36" s="16" t="s">
        <v>205</v>
      </c>
      <c r="B36" s="124">
        <f>B34+B30</f>
        <v>697929.21</v>
      </c>
      <c r="D36" s="72"/>
      <c r="E36" s="70"/>
      <c r="F36" s="70"/>
      <c r="G36" s="70"/>
      <c r="H36" s="71"/>
    </row>
    <row r="37" spans="1:8" x14ac:dyDescent="0.2">
      <c r="A37" s="79" t="s">
        <v>206</v>
      </c>
      <c r="B37" s="124">
        <f>B62-TotalEstaEstimacion</f>
        <v>3543397.2700000005</v>
      </c>
      <c r="D37" s="72"/>
      <c r="E37" s="70"/>
      <c r="F37" s="70"/>
      <c r="G37" s="70"/>
      <c r="H37" s="71"/>
    </row>
    <row r="38" spans="1:8" x14ac:dyDescent="0.2">
      <c r="A38" s="79" t="s">
        <v>208</v>
      </c>
      <c r="B38" s="124">
        <v>566943.56000000006</v>
      </c>
      <c r="D38" s="72"/>
      <c r="E38" s="70"/>
      <c r="F38" s="70"/>
      <c r="G38" s="70"/>
      <c r="H38" s="71"/>
    </row>
    <row r="39" spans="1:8" x14ac:dyDescent="0.2">
      <c r="A39" s="16" t="s">
        <v>209</v>
      </c>
      <c r="B39" s="124">
        <f>B37+B38</f>
        <v>4110340.8300000005</v>
      </c>
      <c r="D39" s="72"/>
      <c r="E39" s="70"/>
      <c r="F39" s="70"/>
      <c r="G39" s="70"/>
      <c r="H39" s="71"/>
    </row>
    <row r="40" spans="1:8" x14ac:dyDescent="0.2">
      <c r="A40" s="79" t="s">
        <v>210</v>
      </c>
      <c r="B40" s="128" t="s">
        <v>326</v>
      </c>
      <c r="D40" s="72"/>
      <c r="E40" s="70"/>
      <c r="F40" s="70"/>
      <c r="G40" s="70"/>
      <c r="H40" s="71"/>
    </row>
    <row r="41" spans="1:8" x14ac:dyDescent="0.2">
      <c r="B41" s="69"/>
      <c r="D41" s="72"/>
      <c r="E41" s="70"/>
      <c r="F41" s="70"/>
      <c r="G41" s="70"/>
      <c r="H41" s="71"/>
    </row>
    <row r="42" spans="1:8" x14ac:dyDescent="0.2">
      <c r="B42" s="69"/>
      <c r="D42" s="72"/>
      <c r="E42" s="70"/>
      <c r="F42" s="70"/>
      <c r="G42" s="70"/>
      <c r="H42" s="71"/>
    </row>
    <row r="43" spans="1:8" x14ac:dyDescent="0.2">
      <c r="B43" s="69"/>
      <c r="D43" s="72"/>
      <c r="E43" s="70"/>
      <c r="F43" s="70"/>
      <c r="G43" s="70"/>
      <c r="H43" s="71"/>
    </row>
    <row r="44" spans="1:8" x14ac:dyDescent="0.2">
      <c r="A44" s="79" t="s">
        <v>223</v>
      </c>
      <c r="B44" s="124">
        <v>0</v>
      </c>
      <c r="D44" s="72"/>
      <c r="E44" s="70"/>
      <c r="F44" s="70"/>
      <c r="G44" s="70"/>
      <c r="H44" s="71"/>
    </row>
    <row r="45" spans="1:8" x14ac:dyDescent="0.2">
      <c r="A45" s="79" t="s">
        <v>224</v>
      </c>
      <c r="B45" s="124">
        <v>44258.1</v>
      </c>
      <c r="D45" s="72"/>
      <c r="E45" s="70"/>
      <c r="F45" s="70"/>
      <c r="G45" s="70"/>
      <c r="H45" s="71"/>
    </row>
    <row r="46" spans="1:8" x14ac:dyDescent="0.2">
      <c r="A46" s="79" t="s">
        <v>225</v>
      </c>
      <c r="B46" s="124">
        <v>202259.5</v>
      </c>
      <c r="D46" s="72"/>
      <c r="E46" s="70"/>
      <c r="F46" s="70"/>
      <c r="G46" s="70"/>
      <c r="H46" s="71"/>
    </row>
    <row r="47" spans="1:8" x14ac:dyDescent="0.2">
      <c r="A47" s="79" t="s">
        <v>226</v>
      </c>
      <c r="B47" s="124">
        <v>161763.34</v>
      </c>
      <c r="D47" s="72"/>
      <c r="E47" s="70"/>
      <c r="F47" s="70"/>
      <c r="G47" s="70"/>
      <c r="H47" s="71"/>
    </row>
    <row r="48" spans="1:8" x14ac:dyDescent="0.2">
      <c r="A48" s="79" t="s">
        <v>227</v>
      </c>
      <c r="B48" s="124">
        <f>DescuentosAcumuladoEstimacionAnterior+DeductivasAcumuladasEstimacionAnterior+AmortizacionAnticipoAcumuladoEstimacionAnterior+RetencionFGAcumuladoEstimacionAnterior</f>
        <v>408280.94</v>
      </c>
      <c r="D48" s="72"/>
      <c r="E48" s="70"/>
      <c r="F48" s="70"/>
      <c r="G48" s="70"/>
      <c r="H48" s="71"/>
    </row>
    <row r="49" spans="1:8" x14ac:dyDescent="0.2">
      <c r="B49" s="123"/>
      <c r="D49" s="72"/>
      <c r="E49" s="70"/>
      <c r="F49" s="70"/>
      <c r="G49" s="70"/>
      <c r="H49" s="71"/>
    </row>
    <row r="50" spans="1:8" x14ac:dyDescent="0.2">
      <c r="A50" s="79" t="s">
        <v>228</v>
      </c>
      <c r="B50" s="124">
        <v>0</v>
      </c>
      <c r="D50" s="72"/>
      <c r="E50" s="70"/>
      <c r="F50" s="70"/>
      <c r="G50" s="70"/>
      <c r="H50" s="71"/>
    </row>
    <row r="51" spans="1:8" x14ac:dyDescent="0.2">
      <c r="A51" s="79" t="s">
        <v>229</v>
      </c>
      <c r="B51" s="124">
        <v>171497.89</v>
      </c>
      <c r="D51" s="72"/>
      <c r="E51" s="70"/>
      <c r="F51" s="70"/>
      <c r="G51" s="70"/>
      <c r="H51" s="71"/>
    </row>
    <row r="52" spans="1:8" x14ac:dyDescent="0.2">
      <c r="A52" s="79" t="s">
        <v>230</v>
      </c>
      <c r="B52" s="124">
        <v>589916.74</v>
      </c>
      <c r="D52" s="72"/>
      <c r="E52" s="70"/>
      <c r="F52" s="70"/>
      <c r="G52" s="70"/>
      <c r="H52" s="71"/>
    </row>
    <row r="53" spans="1:8" x14ac:dyDescent="0.2">
      <c r="A53" s="79" t="s">
        <v>231</v>
      </c>
      <c r="B53" s="124">
        <v>471804.31</v>
      </c>
      <c r="D53" s="72"/>
      <c r="E53" s="70"/>
      <c r="F53" s="70"/>
      <c r="G53" s="70"/>
      <c r="H53" s="71"/>
    </row>
    <row r="54" spans="1:8" x14ac:dyDescent="0.2">
      <c r="A54" s="79" t="s">
        <v>232</v>
      </c>
      <c r="B54" s="124">
        <f>DescuentosAcumuladoEstaEstimacion+DeductivasAcumuladasEstaEstimacion+AmortizacionAnticipoAcumuladoEstaEstimacion+RetencionFGAcumuladoEstaEstimacion</f>
        <v>1233218.94</v>
      </c>
      <c r="D54" s="72"/>
      <c r="E54" s="70"/>
      <c r="F54" s="70"/>
      <c r="G54" s="70"/>
      <c r="H54" s="71"/>
    </row>
    <row r="55" spans="1:8" x14ac:dyDescent="0.2">
      <c r="B55" s="123"/>
      <c r="D55" s="72"/>
      <c r="E55" s="70"/>
      <c r="F55" s="70"/>
      <c r="G55" s="70"/>
      <c r="H55" s="71"/>
    </row>
    <row r="56" spans="1:8" x14ac:dyDescent="0.2">
      <c r="A56" s="79" t="s">
        <v>233</v>
      </c>
      <c r="B56" s="124">
        <v>0</v>
      </c>
      <c r="D56" s="72"/>
      <c r="E56" s="70"/>
      <c r="F56" s="70"/>
      <c r="G56" s="70"/>
      <c r="H56" s="71"/>
    </row>
    <row r="57" spans="1:8" x14ac:dyDescent="0.2">
      <c r="A57" s="79" t="s">
        <v>234</v>
      </c>
      <c r="B57" s="124">
        <v>0</v>
      </c>
      <c r="D57" s="72"/>
      <c r="E57" s="70"/>
      <c r="F57" s="70"/>
      <c r="G57" s="70"/>
      <c r="H57" s="71"/>
    </row>
    <row r="58" spans="1:8" x14ac:dyDescent="0.2">
      <c r="A58" s="79" t="s">
        <v>235</v>
      </c>
      <c r="B58" s="124">
        <f>'N_Campos Generales'!C79-B52</f>
        <v>443478.47</v>
      </c>
      <c r="D58" s="72"/>
      <c r="E58" s="70"/>
      <c r="F58" s="70"/>
      <c r="G58" s="70"/>
      <c r="H58" s="71"/>
    </row>
    <row r="59" spans="1:8" x14ac:dyDescent="0.2">
      <c r="A59" s="79" t="s">
        <v>236</v>
      </c>
      <c r="B59" s="124">
        <v>0</v>
      </c>
      <c r="D59" s="72"/>
      <c r="E59" s="70"/>
      <c r="F59" s="70"/>
      <c r="G59" s="70"/>
      <c r="H59" s="71"/>
    </row>
    <row r="60" spans="1:8" x14ac:dyDescent="0.2">
      <c r="A60" s="79" t="s">
        <v>237</v>
      </c>
      <c r="B60" s="124">
        <f>DescuentosPorEjercer+DeductivasPorEjercer+AmortizacionAnticipoPorEjercer+RetencionFGPorEjercer</f>
        <v>443478.47</v>
      </c>
      <c r="D60" s="72"/>
      <c r="E60" s="70"/>
      <c r="F60" s="70"/>
      <c r="G60" s="70"/>
      <c r="H60" s="71"/>
    </row>
    <row r="61" spans="1:8" x14ac:dyDescent="0.2">
      <c r="B61" s="123"/>
      <c r="D61" s="72"/>
      <c r="E61" s="70"/>
      <c r="F61" s="70"/>
      <c r="G61" s="70"/>
      <c r="H61" s="71"/>
    </row>
    <row r="62" spans="1:8" x14ac:dyDescent="0.2">
      <c r="A62" s="79" t="s">
        <v>285</v>
      </c>
      <c r="B62" s="124">
        <v>4241326.4800000004</v>
      </c>
      <c r="D62" s="72"/>
      <c r="E62" s="70"/>
      <c r="F62" s="70"/>
      <c r="G62" s="70"/>
      <c r="H62" s="71"/>
    </row>
    <row r="63" spans="1:8" x14ac:dyDescent="0.2">
      <c r="B63" s="69"/>
      <c r="D63" s="72"/>
      <c r="E63" s="70"/>
      <c r="F63" s="70"/>
      <c r="G63" s="70"/>
      <c r="H63" s="71"/>
    </row>
    <row r="64" spans="1:8" x14ac:dyDescent="0.2">
      <c r="A64" s="1" t="s">
        <v>287</v>
      </c>
      <c r="B64" s="101">
        <v>7654</v>
      </c>
      <c r="D64" s="72"/>
      <c r="E64" s="70"/>
      <c r="F64" s="70"/>
      <c r="G64" s="70"/>
      <c r="H64" s="71"/>
    </row>
    <row r="65" spans="2:8" x14ac:dyDescent="0.2">
      <c r="B65" s="69"/>
      <c r="D65" s="72"/>
      <c r="E65" s="70"/>
      <c r="F65" s="70"/>
      <c r="G65" s="70"/>
      <c r="H65" s="71"/>
    </row>
    <row r="66" spans="2:8" x14ac:dyDescent="0.2">
      <c r="B66" s="69"/>
      <c r="D66" s="72"/>
      <c r="E66" s="70"/>
      <c r="F66" s="70"/>
      <c r="G66" s="70"/>
      <c r="H66" s="71"/>
    </row>
    <row r="67" spans="2:8" x14ac:dyDescent="0.2">
      <c r="B67" s="69"/>
      <c r="D67" s="72"/>
      <c r="E67" s="70"/>
      <c r="F67" s="70"/>
      <c r="G67" s="70"/>
      <c r="H67" s="71"/>
    </row>
    <row r="68" spans="2:8" x14ac:dyDescent="0.2">
      <c r="B68" s="69"/>
      <c r="D68" s="72"/>
      <c r="E68" s="70"/>
      <c r="F68" s="70"/>
      <c r="G68" s="70"/>
      <c r="H68" s="71"/>
    </row>
    <row r="69" spans="2:8" x14ac:dyDescent="0.2">
      <c r="B69" s="69"/>
      <c r="D69" s="72"/>
      <c r="E69" s="70"/>
      <c r="F69" s="70"/>
      <c r="G69" s="70"/>
      <c r="H69" s="71"/>
    </row>
    <row r="70" spans="2:8" x14ac:dyDescent="0.2">
      <c r="B70" s="74"/>
      <c r="D70" s="75"/>
      <c r="E70" s="76"/>
      <c r="F70" s="76"/>
      <c r="G70" s="76"/>
      <c r="H70" s="77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GridLines="0" showZeros="0" topLeftCell="A13" workbookViewId="0">
      <selection activeCell="J25" sqref="J25"/>
    </sheetView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69" customHeight="1" x14ac:dyDescent="0.25">
      <c r="A2" s="145" t="s">
        <v>1</v>
      </c>
      <c r="B2" s="14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48"/>
      <c r="D2" s="148"/>
      <c r="E2" s="2"/>
      <c r="F2" s="2"/>
    </row>
    <row r="3" spans="1:6" ht="12.75" customHeight="1" x14ac:dyDescent="0.2">
      <c r="A3" s="4" t="s">
        <v>2</v>
      </c>
      <c r="B3" s="4"/>
      <c r="C3" s="4" t="s">
        <v>4</v>
      </c>
      <c r="D3" s="4"/>
      <c r="E3" s="1"/>
      <c r="F3" s="1"/>
    </row>
    <row r="4" spans="1:6" ht="14.25" customHeight="1" x14ac:dyDescent="0.25">
      <c r="A4" s="6" t="s">
        <v>3</v>
      </c>
      <c r="B4" s="82">
        <f>numContrato</f>
        <v>1</v>
      </c>
      <c r="C4" s="6" t="s">
        <v>3</v>
      </c>
      <c r="D4" s="82" t="str">
        <f>NumeroEstimacion</f>
        <v>3-N-5</v>
      </c>
      <c r="F4" s="5"/>
    </row>
    <row r="5" spans="1:6" ht="14.25" customHeight="1" x14ac:dyDescent="0.25">
      <c r="A5" s="6" t="s">
        <v>5</v>
      </c>
      <c r="B5" s="115">
        <f>fechadelcontrato</f>
        <v>40597</v>
      </c>
      <c r="C5" s="6" t="s">
        <v>5</v>
      </c>
      <c r="D5" s="115">
        <f>FechaEstimacion</f>
        <v>40610</v>
      </c>
      <c r="F5" s="7"/>
    </row>
    <row r="6" spans="1:6" ht="13.5" customHeight="1" x14ac:dyDescent="0.2">
      <c r="A6" s="37" t="s">
        <v>6</v>
      </c>
      <c r="B6" s="84" t="str">
        <f>nombrecontratista</f>
        <v>EL KONSTRUKTOR S.A. DE C.V.</v>
      </c>
      <c r="C6" s="6" t="s">
        <v>288</v>
      </c>
      <c r="D6" s="82">
        <f>FolioAuxiliar</f>
        <v>7654</v>
      </c>
      <c r="F6" s="8"/>
    </row>
    <row r="7" spans="1:6" ht="13.5" customHeight="1" x14ac:dyDescent="0.2">
      <c r="A7" s="37" t="s">
        <v>7</v>
      </c>
      <c r="B7" s="84" t="str">
        <f>objetodelcontrato</f>
        <v>Obra de remodelación</v>
      </c>
      <c r="F7" s="8"/>
    </row>
    <row r="8" spans="1:6" ht="13.5" customHeight="1" x14ac:dyDescent="0.2">
      <c r="A8" s="37" t="s">
        <v>8</v>
      </c>
      <c r="B8" s="149" t="str">
        <f>direcciondelaobra</f>
        <v>Tramo de Barranca del Muerto a Tlahuac.</v>
      </c>
      <c r="C8" s="149"/>
      <c r="D8" s="149"/>
      <c r="F8" s="8"/>
    </row>
    <row r="9" spans="1:6" ht="13.5" customHeight="1" x14ac:dyDescent="0.2">
      <c r="A9" s="10" t="s">
        <v>9</v>
      </c>
      <c r="B9" s="11">
        <f>montodelcontrato</f>
        <v>11306293.279999999</v>
      </c>
      <c r="C9" s="3"/>
      <c r="D9" s="9"/>
      <c r="F9" s="9"/>
    </row>
    <row r="10" spans="1:6" ht="13.5" customHeight="1" x14ac:dyDescent="0.2">
      <c r="A10" s="10" t="s">
        <v>10</v>
      </c>
      <c r="B10" s="11">
        <f>montoadendum</f>
        <v>0</v>
      </c>
      <c r="C10" s="6" t="s">
        <v>11</v>
      </c>
      <c r="D10" s="83" t="str">
        <f>Periodo</f>
        <v>03/03/2011 - 09/03/2011</v>
      </c>
      <c r="F10" s="9"/>
    </row>
    <row r="11" spans="1:6" ht="13.5" customHeight="1" x14ac:dyDescent="0.2">
      <c r="A11" s="6" t="s">
        <v>12</v>
      </c>
      <c r="B11" s="12">
        <f>montoanticipocontrato</f>
        <v>1033395.21</v>
      </c>
      <c r="C11" s="6" t="s">
        <v>13</v>
      </c>
      <c r="D11" s="82">
        <f>Factura</f>
        <v>12345</v>
      </c>
      <c r="F11" s="9"/>
    </row>
    <row r="12" spans="1:6" ht="13.5" customHeight="1" x14ac:dyDescent="0.2">
      <c r="A12" s="13"/>
      <c r="B12" s="12"/>
      <c r="C12" s="3"/>
      <c r="D12" s="3"/>
      <c r="E12" s="9"/>
      <c r="F12" s="9"/>
    </row>
    <row r="13" spans="1:6" ht="12.75" customHeight="1" x14ac:dyDescent="0.2">
      <c r="A13" s="96" t="s">
        <v>14</v>
      </c>
      <c r="B13" s="97"/>
      <c r="C13" s="97"/>
      <c r="D13" s="97"/>
      <c r="E13" s="97"/>
      <c r="F13" s="98"/>
    </row>
    <row r="14" spans="1:6" ht="34.5" customHeight="1" x14ac:dyDescent="0.2">
      <c r="A14" s="99" t="s">
        <v>15</v>
      </c>
      <c r="B14" s="150" t="s">
        <v>16</v>
      </c>
      <c r="C14" s="151"/>
      <c r="D14" s="100" t="s">
        <v>17</v>
      </c>
      <c r="E14" s="100" t="s">
        <v>18</v>
      </c>
      <c r="F14" s="100" t="s">
        <v>19</v>
      </c>
    </row>
    <row r="15" spans="1:6" ht="12.75" customHeight="1" x14ac:dyDescent="0.2">
      <c r="A15" s="14" t="str">
        <f>'N_Campos Especificos'!D3</f>
        <v>A01002</v>
      </c>
      <c r="B15" s="154" t="str">
        <f>'N_Campos Especificos'!E3</f>
        <v>DESMONTAJE DE MUEBLES</v>
      </c>
      <c r="C15" s="155"/>
      <c r="D15" s="15">
        <f>'N_Campos Especificos'!F3</f>
        <v>1110936</v>
      </c>
      <c r="E15" s="15">
        <f>'N_Campos Especificos'!G3</f>
        <v>211076</v>
      </c>
      <c r="F15" s="15">
        <f>'N_Campos Especificos'!H3</f>
        <v>688784</v>
      </c>
    </row>
    <row r="16" spans="1:6" ht="12.75" customHeight="1" x14ac:dyDescent="0.2">
      <c r="A16" s="143"/>
      <c r="B16" s="156"/>
      <c r="C16" s="157"/>
      <c r="D16" s="144"/>
      <c r="E16" s="144"/>
      <c r="F16" s="144"/>
    </row>
    <row r="17" spans="1:6" ht="12.75" customHeight="1" x14ac:dyDescent="0.2">
      <c r="A17" s="143"/>
      <c r="B17" s="156"/>
      <c r="C17" s="157"/>
      <c r="D17" s="144"/>
      <c r="E17" s="144"/>
      <c r="F17" s="144"/>
    </row>
    <row r="18" spans="1:6" ht="12.75" customHeight="1" x14ac:dyDescent="0.2">
      <c r="A18" s="14"/>
      <c r="B18" s="154"/>
      <c r="C18" s="155"/>
      <c r="D18" s="15"/>
      <c r="E18" s="15"/>
      <c r="F18" s="15"/>
    </row>
    <row r="19" spans="1:6" ht="12.75" customHeight="1" x14ac:dyDescent="0.2">
      <c r="A19" s="14"/>
      <c r="B19" s="154"/>
      <c r="C19" s="155"/>
      <c r="D19" s="15"/>
      <c r="E19" s="15"/>
      <c r="F19" s="15"/>
    </row>
    <row r="20" spans="1:6" ht="12.75" customHeight="1" x14ac:dyDescent="0.2">
      <c r="A20" s="14"/>
      <c r="B20" s="154"/>
      <c r="C20" s="155"/>
      <c r="D20" s="15"/>
      <c r="E20" s="15"/>
      <c r="F20" s="15"/>
    </row>
    <row r="21" spans="1:6" ht="12.75" customHeight="1" x14ac:dyDescent="0.2">
      <c r="A21" s="14"/>
      <c r="B21" s="154"/>
      <c r="C21" s="155"/>
      <c r="D21" s="15"/>
      <c r="E21" s="15"/>
      <c r="F21" s="15"/>
    </row>
    <row r="22" spans="1:6" ht="12.75" customHeight="1" x14ac:dyDescent="0.2">
      <c r="A22" s="14"/>
      <c r="B22" s="154"/>
      <c r="C22" s="155"/>
      <c r="D22" s="15"/>
      <c r="E22" s="15"/>
      <c r="F22" s="15"/>
    </row>
    <row r="23" spans="1:6" ht="12.75" customHeight="1" x14ac:dyDescent="0.2">
      <c r="A23" s="14"/>
      <c r="B23" s="154"/>
      <c r="C23" s="155"/>
      <c r="D23" s="15"/>
      <c r="E23" s="15"/>
      <c r="F23" s="15"/>
    </row>
    <row r="24" spans="1:6" ht="32.25" customHeight="1" x14ac:dyDescent="0.2">
      <c r="A24" s="16" t="s">
        <v>20</v>
      </c>
      <c r="B24" s="17"/>
      <c r="C24" s="18" t="s">
        <v>21</v>
      </c>
      <c r="D24" s="18" t="s">
        <v>22</v>
      </c>
      <c r="E24" s="18" t="s">
        <v>23</v>
      </c>
      <c r="F24" s="18" t="s">
        <v>24</v>
      </c>
    </row>
    <row r="25" spans="1:6" ht="12.75" customHeight="1" x14ac:dyDescent="0.2">
      <c r="A25" s="17" t="s">
        <v>25</v>
      </c>
      <c r="B25" s="17"/>
      <c r="C25" s="19">
        <f>ImporteNEstaEstimacion</f>
        <v>4241326.4800000004</v>
      </c>
      <c r="D25" s="19">
        <f>AcumuladoAnteriorN</f>
        <v>2185126.7999999998</v>
      </c>
      <c r="E25" s="19">
        <f>AcumuladoEstaEstimacionN</f>
        <v>6426453.2800000003</v>
      </c>
      <c r="F25" s="19">
        <f>PorEjercerN</f>
        <v>4879839.9999999991</v>
      </c>
    </row>
    <row r="26" spans="1:6" ht="12.75" customHeight="1" x14ac:dyDescent="0.2">
      <c r="A26" s="17" t="s">
        <v>240</v>
      </c>
      <c r="B26" s="17"/>
      <c r="C26" s="19">
        <f>ImporteVEstaEstimacion</f>
        <v>0</v>
      </c>
      <c r="D26" s="19">
        <f>AcumuladoAnteriorV</f>
        <v>27778</v>
      </c>
      <c r="E26" s="19">
        <f>AcumuladoEstaEstimacionV</f>
        <v>27778</v>
      </c>
      <c r="F26" s="19">
        <f>PorEjercerV</f>
        <v>-27778</v>
      </c>
    </row>
    <row r="27" spans="1:6" ht="12.75" customHeight="1" x14ac:dyDescent="0.2">
      <c r="A27" s="17" t="s">
        <v>241</v>
      </c>
      <c r="B27" s="17"/>
      <c r="C27" s="19">
        <f>ImporteXEstaEstimacion</f>
        <v>0</v>
      </c>
      <c r="D27" s="81">
        <f>AcumuladoAnteriorX</f>
        <v>0</v>
      </c>
      <c r="E27" s="19">
        <f>AcumuladoEstaEstimacionX</f>
        <v>0</v>
      </c>
      <c r="F27" s="19">
        <f>PorEjercerX</f>
        <v>0</v>
      </c>
    </row>
    <row r="28" spans="1:6" ht="12.75" customHeight="1" x14ac:dyDescent="0.2">
      <c r="A28" s="93" t="s">
        <v>26</v>
      </c>
      <c r="B28" s="94"/>
      <c r="C28" s="95"/>
      <c r="D28" s="91">
        <f>TotalAcumuladoAnterior</f>
        <v>2212904.7999999998</v>
      </c>
      <c r="E28" s="91">
        <f>TotalAcumuladoEstaEstimacion</f>
        <v>6454231.2800000003</v>
      </c>
      <c r="F28" s="91">
        <f>TotalPorEjercer</f>
        <v>4852061.9999999991</v>
      </c>
    </row>
    <row r="29" spans="1:6" ht="27.75" customHeight="1" x14ac:dyDescent="0.2">
      <c r="A29" s="158" t="s">
        <v>27</v>
      </c>
      <c r="B29" s="158"/>
      <c r="C29" s="158"/>
      <c r="D29" s="158"/>
      <c r="E29" s="158"/>
      <c r="F29" s="158"/>
    </row>
    <row r="30" spans="1:6" ht="32.25" customHeight="1" x14ac:dyDescent="0.2">
      <c r="A30" s="21" t="s">
        <v>28</v>
      </c>
      <c r="B30" s="22"/>
      <c r="C30" s="18" t="s">
        <v>21</v>
      </c>
      <c r="D30" s="18" t="s">
        <v>22</v>
      </c>
      <c r="E30" s="18" t="s">
        <v>23</v>
      </c>
      <c r="F30" s="18" t="s">
        <v>24</v>
      </c>
    </row>
    <row r="31" spans="1:6" ht="12.75" customHeight="1" x14ac:dyDescent="0.2">
      <c r="A31" s="20" t="s">
        <v>29</v>
      </c>
      <c r="B31" s="22"/>
      <c r="C31" s="19">
        <f>DescuentosEstaEstimacion</f>
        <v>0</v>
      </c>
      <c r="D31" s="19">
        <f>DescuentosAcumuladoEstimacionAnterior</f>
        <v>0</v>
      </c>
      <c r="E31" s="19">
        <f>DescuentosAcumuladoEstaEstimacion</f>
        <v>0</v>
      </c>
      <c r="F31" s="19"/>
    </row>
    <row r="32" spans="1:6" ht="12.75" customHeight="1" x14ac:dyDescent="0.2">
      <c r="A32" s="20" t="s">
        <v>30</v>
      </c>
      <c r="B32" s="22"/>
      <c r="C32" s="19">
        <f>DeductivasEstaEstimacion</f>
        <v>127239.79</v>
      </c>
      <c r="D32" s="19">
        <f>DeductivasAcumuladasEstimacionAnterior</f>
        <v>44258.1</v>
      </c>
      <c r="E32" s="19">
        <f>DeductivasAcumuladasEstaEstimacion</f>
        <v>171497.89</v>
      </c>
      <c r="F32" s="19"/>
    </row>
    <row r="33" spans="1:6" ht="12.75" customHeight="1" x14ac:dyDescent="0.2">
      <c r="A33" s="20" t="s">
        <v>31</v>
      </c>
      <c r="B33" s="22"/>
      <c r="C33" s="19">
        <f>AmortizacionAnticipoEstaEstimacion</f>
        <v>387657.24</v>
      </c>
      <c r="D33" s="19">
        <f>AmortizacionAnticipoAcumuladoEstimacionAnterior</f>
        <v>202259.5</v>
      </c>
      <c r="E33" s="19">
        <f>AmortizacionAnticipoAcumuladoEstaEstimacion</f>
        <v>589916.74</v>
      </c>
      <c r="F33" s="19">
        <f>AmortizacionAnticipoPorEjercer</f>
        <v>443478.47</v>
      </c>
    </row>
    <row r="34" spans="1:6" ht="12.75" customHeight="1" x14ac:dyDescent="0.2">
      <c r="A34" s="20" t="s">
        <v>32</v>
      </c>
      <c r="B34" s="22"/>
      <c r="C34" s="19">
        <f>RetencionFGEstaEstimacion</f>
        <v>310040.96999999997</v>
      </c>
      <c r="D34" s="19">
        <f>RetencionFGAcumuladoEstimacionAnterior</f>
        <v>161763.34</v>
      </c>
      <c r="E34" s="81">
        <f>RetencionFGAcumuladoEstaEstimacion</f>
        <v>471804.31</v>
      </c>
      <c r="F34" s="19">
        <f>RetencionFGPorEjercer</f>
        <v>0</v>
      </c>
    </row>
    <row r="35" spans="1:6" ht="12.75" customHeight="1" x14ac:dyDescent="0.2">
      <c r="A35" s="89" t="s">
        <v>26</v>
      </c>
      <c r="B35" s="90"/>
      <c r="C35" s="91">
        <f>TotalEstaEstimacion</f>
        <v>697929.21</v>
      </c>
      <c r="D35" s="92">
        <f>TotalesRetencionesAcumuladoEstimacionAnterior</f>
        <v>408280.94</v>
      </c>
      <c r="E35" s="91">
        <f>TotalesRetencionesAcumuladoEstaEstimacion</f>
        <v>1233218.94</v>
      </c>
      <c r="F35" s="91">
        <f>TotalesRetencionesPorEjercer</f>
        <v>443478.47</v>
      </c>
    </row>
    <row r="36" spans="1:6" ht="12.75" customHeight="1" x14ac:dyDescent="0.2">
      <c r="A36" s="23" t="s">
        <v>33</v>
      </c>
      <c r="B36" s="24"/>
      <c r="C36" s="19">
        <f>ImporteEstimacionMenosRetenciones</f>
        <v>3543397.2700000005</v>
      </c>
      <c r="D36" s="19"/>
      <c r="E36" s="19"/>
      <c r="F36" s="19"/>
    </row>
    <row r="37" spans="1:6" ht="12.75" customHeight="1" x14ac:dyDescent="0.2">
      <c r="A37" s="20" t="s">
        <v>34</v>
      </c>
      <c r="B37" s="22"/>
      <c r="C37" s="19">
        <f>MontoIva</f>
        <v>566943.56000000006</v>
      </c>
      <c r="D37" s="17"/>
      <c r="E37" s="17"/>
      <c r="F37" s="17"/>
    </row>
    <row r="38" spans="1:6" ht="12.75" customHeight="1" x14ac:dyDescent="0.2">
      <c r="A38" s="86" t="s">
        <v>35</v>
      </c>
      <c r="B38" s="25"/>
      <c r="C38" s="87">
        <f>TotalAPagar</f>
        <v>4110340.8300000005</v>
      </c>
      <c r="D38" s="17"/>
      <c r="E38" s="17"/>
      <c r="F38" s="17"/>
    </row>
    <row r="39" spans="1:6" ht="12.75" customHeight="1" x14ac:dyDescent="0.2">
      <c r="A39" s="85" t="s">
        <v>36</v>
      </c>
      <c r="B39" s="152" t="str">
        <f>ImporteConLetra</f>
        <v>(* TRES  MILLONES  NOVECIENTOS  OCHENTA  Y  TRES  MIL  CIENTO UN  PESOS 04/100  M.N. *)</v>
      </c>
      <c r="C39" s="152"/>
      <c r="D39" s="152"/>
      <c r="E39" s="152"/>
      <c r="F39" s="153"/>
    </row>
    <row r="40" spans="1:6" ht="12.75" customHeight="1" x14ac:dyDescent="0.2">
      <c r="A40" s="26"/>
      <c r="B40" s="26"/>
      <c r="C40" s="26"/>
      <c r="D40" s="26"/>
      <c r="E40" s="26"/>
      <c r="F40" s="26"/>
    </row>
    <row r="41" spans="1:6" ht="12.75" customHeight="1" x14ac:dyDescent="0.2">
      <c r="A41" s="27" t="s">
        <v>37</v>
      </c>
      <c r="B41" s="28"/>
      <c r="C41" s="28"/>
      <c r="D41" s="28"/>
      <c r="E41" s="28"/>
      <c r="F41" s="29"/>
    </row>
    <row r="42" spans="1:6" ht="12.75" customHeight="1" x14ac:dyDescent="0.2">
      <c r="A42" s="30" t="str">
        <f>'N_Campos Generales'!C85</f>
        <v>Elaboró</v>
      </c>
      <c r="B42" s="13"/>
      <c r="C42" s="13"/>
      <c r="D42" s="13"/>
      <c r="E42" s="13" t="str">
        <f>'N_Campos Generales'!C88</f>
        <v>Revisó</v>
      </c>
      <c r="F42" s="31"/>
    </row>
    <row r="43" spans="1:6" ht="12.75" customHeight="1" x14ac:dyDescent="0.2">
      <c r="A43" s="32" t="str">
        <f>Firma1</f>
        <v>ENCARGADO CORRESPONDIENTE</v>
      </c>
      <c r="B43" s="13"/>
      <c r="C43" s="13"/>
      <c r="E43" s="3" t="str">
        <f>Firma2</f>
        <v>ENCARGADO CORRESPONDIENTE</v>
      </c>
      <c r="F43" s="31"/>
    </row>
    <row r="44" spans="1:6" ht="12.75" customHeight="1" x14ac:dyDescent="0.2">
      <c r="A44" s="32" t="str">
        <f>Cargo1</f>
        <v>El Contratista</v>
      </c>
      <c r="B44" s="38" t="s">
        <v>38</v>
      </c>
      <c r="C44" s="38"/>
      <c r="D44" s="38"/>
      <c r="E44" s="3" t="str">
        <f>Cargo2</f>
        <v>Gerencia de Construcción</v>
      </c>
      <c r="F44" s="31"/>
    </row>
    <row r="45" spans="1:6" ht="12.75" customHeight="1" x14ac:dyDescent="0.2">
      <c r="A45" s="30"/>
      <c r="B45" s="38" t="s">
        <v>39</v>
      </c>
      <c r="C45" s="38"/>
      <c r="D45" s="38"/>
      <c r="E45" s="13"/>
      <c r="F45" s="31"/>
    </row>
    <row r="46" spans="1:6" ht="12.75" customHeight="1" x14ac:dyDescent="0.2">
      <c r="A46" s="33" t="str">
        <f>'N_Campos Generales'!C91</f>
        <v>Supervisó</v>
      </c>
      <c r="B46" s="13"/>
      <c r="C46" s="13"/>
      <c r="E46" s="34"/>
      <c r="F46" s="31"/>
    </row>
    <row r="47" spans="1:6" ht="12.75" customHeight="1" x14ac:dyDescent="0.2">
      <c r="A47" s="32" t="str">
        <f>Firma3</f>
        <v>ENCARGADO CORRESPONDIENTE</v>
      </c>
      <c r="B47" s="13"/>
      <c r="C47" s="13"/>
      <c r="E47" s="3" t="str">
        <f>Firma4</f>
        <v>ENCARGADO CORRESPONDIENTE</v>
      </c>
      <c r="F47" s="31"/>
    </row>
    <row r="48" spans="1:6" ht="12.75" customHeight="1" x14ac:dyDescent="0.2">
      <c r="A48" s="35" t="str">
        <f>Cargo3</f>
        <v>Coordinacion de Obra</v>
      </c>
      <c r="B48" s="25"/>
      <c r="C48" s="25"/>
      <c r="D48" s="25"/>
      <c r="E48" s="36" t="str">
        <f>Cargo4</f>
        <v>Contraloría</v>
      </c>
      <c r="F48" s="24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rintOptions horizontalCentered="1" verticalCentered="1"/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anavarro</cp:lastModifiedBy>
  <cp:lastPrinted>2018-07-18T15:14:03Z</cp:lastPrinted>
  <dcterms:created xsi:type="dcterms:W3CDTF">2002-11-13T22:54:31Z</dcterms:created>
  <dcterms:modified xsi:type="dcterms:W3CDTF">2025-08-18T21:23:58Z</dcterms:modified>
</cp:coreProperties>
</file>